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8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9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0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11.xml" ContentType="application/vnd.openxmlformats-officedocument.drawing+xml"/>
  <Override PartName="/xl/drawings/drawing12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3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4.xml" ContentType="application/vnd.openxmlformats-officedocument.drawing+xml"/>
  <Override PartName="/xl/drawings/drawing15.xml" ContentType="application/vnd.openxmlformats-officedocument.drawing+xml"/>
  <Override PartName="/xl/embeddings/oleObject1.bin" ContentType="application/vnd.openxmlformats-officedocument.oleObject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knorthamerica-my.sharepoint.com/personal/knadeau_mknorthamerica_com/Documents/"/>
    </mc:Choice>
  </mc:AlternateContent>
  <xr:revisionPtr revIDLastSave="5" documentId="8_{4DB28B61-A4D9-4779-AFE9-92BF925FC3AF}" xr6:coauthVersionLast="47" xr6:coauthVersionMax="47" xr10:uidLastSave="{48C3A118-3361-4C38-878C-33568C7F4790}"/>
  <bookViews>
    <workbookView xWindow="-120" yWindow="-120" windowWidth="29040" windowHeight="16440" tabRatio="861" activeTab="24" xr2:uid="{00000000-000D-0000-FFFF-FFFF00000000}"/>
  </bookViews>
  <sheets>
    <sheet name="Conveyors" sheetId="23" r:id="rId1"/>
    <sheet name="Specification" sheetId="8" r:id="rId2"/>
    <sheet name="Drive Type" sheetId="4" r:id="rId3"/>
    <sheet name="Drive Version" sheetId="5" r:id="rId4"/>
    <sheet name="Belt" sheetId="11" r:id="rId5"/>
    <sheet name="Fixed Rail" sheetId="70" r:id="rId6"/>
    <sheet name="Adjustable Rail" sheetId="28" r:id="rId7"/>
    <sheet name="Stand" sheetId="27" r:id="rId8"/>
    <sheet name="Controls" sheetId="73" r:id="rId9"/>
    <sheet name="Customer" sheetId="18" r:id="rId10"/>
    <sheet name="Proposal" sheetId="19" r:id="rId11"/>
    <sheet name="Help" sheetId="72" r:id="rId12"/>
    <sheet name="Parts List" sheetId="74" r:id="rId13"/>
    <sheet name="Parts " sheetId="41" state="hidden" r:id="rId14"/>
    <sheet name="Motors" sheetId="20" state="hidden" r:id="rId15"/>
    <sheet name="Drop-downs" sheetId="2" state="hidden" r:id="rId16"/>
    <sheet name="Page 12" sheetId="1" state="hidden" r:id="rId17"/>
    <sheet name="Rails" sheetId="34" state="hidden" r:id="rId18"/>
    <sheet name="Pricing" sheetId="21" r:id="rId19"/>
    <sheet name="SALES TEXT" sheetId="61" state="hidden" r:id="rId20"/>
    <sheet name="Production (Summary)" sheetId="62" state="hidden" r:id="rId21"/>
    <sheet name="SF7.1" sheetId="60" state="hidden" r:id="rId22"/>
    <sheet name="Summary" sheetId="17" state="hidden" r:id="rId23"/>
    <sheet name="BOM" sheetId="33" state="hidden" r:id="rId24"/>
    <sheet name="Pricing (Summary)" sheetId="26" r:id="rId25"/>
    <sheet name="Stands" sheetId="35" state="hidden" r:id="rId26"/>
    <sheet name="Sprockets" sheetId="38" state="hidden" r:id="rId27"/>
    <sheet name="Spare Belt" sheetId="75" state="hidden" r:id="rId28"/>
    <sheet name="Revisions" sheetId="71" state="hidden" r:id="rId29"/>
  </sheets>
  <definedNames>
    <definedName name="_xlnm._FilterDatabase" localSheetId="4" hidden="1">Belt!$B$19:$G$28</definedName>
    <definedName name="_xlnm._FilterDatabase" localSheetId="12" hidden="1">'Parts List'!$A$8:$J$137</definedName>
    <definedName name="_max1">Motors!$J$3</definedName>
    <definedName name="_max2">Motors!$J$4</definedName>
    <definedName name="_max3">Motors!$J$5</definedName>
    <definedName name="_min1">Motors!$H$3</definedName>
    <definedName name="_min2">Motors!$H$4</definedName>
    <definedName name="_min3">Motors!$H$5</definedName>
    <definedName name="_sf71">'Drop-downs'!$A$101:$A$103</definedName>
    <definedName name="AU_Orientation">'Drop-downs'!$A$36:$A$37</definedName>
    <definedName name="Base">'Pricing (Summary)'!$J$10</definedName>
    <definedName name="Belt_Cost">Pricing!$K$388</definedName>
    <definedName name="BeltQuoteRange">Belt!$C$20:$F$28</definedName>
    <definedName name="BeltRange">Belt!$B$19:$G$28</definedName>
    <definedName name="BeltRangePrice">Belt!$C$20:$AB$28</definedName>
    <definedName name="BeltSelection">Belt!$AR$20:$AR$28</definedName>
    <definedName name="BOM_01">BOM!$S$11</definedName>
    <definedName name="BOMRANGE">'Parts List'!$A$8:$J$137</definedName>
    <definedName name="CenterDriveVersion">'Drop-downs'!$A$40:$A$42</definedName>
    <definedName name="Code">Customer!$K$9</definedName>
    <definedName name="ConstantorVariable">'Drop-downs'!$A$45:$A$47</definedName>
    <definedName name="Control_Voltage">'Drop-downs'!$A$68:$A$72</definedName>
    <definedName name="ConveyorWidth">'Drop-downs'!$A$2:$A$12</definedName>
    <definedName name="FixedorAdjustableRails">'Drop-downs'!$A$88:$A$90</definedName>
    <definedName name="FrictionFactor">'Drop-downs'!$I$18</definedName>
    <definedName name="HeadDriveVersion">'Drop-downs'!$A$31:$A$33</definedName>
    <definedName name="HeadorCenter">'Drop-downs'!$A$23:$A$24</definedName>
    <definedName name="Help_01">Help!$A$1</definedName>
    <definedName name="HMax">'Adjustable Rail'!$C$33</definedName>
    <definedName name="HMin">'Adjustable Rail'!$C$32</definedName>
    <definedName name="info1">Customer!$H$9</definedName>
    <definedName name="info10">Customer!$D$26</definedName>
    <definedName name="info2">Customer!$H$11</definedName>
    <definedName name="info3a">Customer!$D$13</definedName>
    <definedName name="info3b">Customer!$F$13</definedName>
    <definedName name="info3c">Customer!$H$13</definedName>
    <definedName name="info4">Customer!$H$15</definedName>
    <definedName name="info5a">Customer!$H$17</definedName>
    <definedName name="info5b">Customer!$H$18</definedName>
    <definedName name="info5c">Customer!$H$19</definedName>
    <definedName name="info5d">Customer!$H$20</definedName>
    <definedName name="info6">Customer!$D$33</definedName>
    <definedName name="info7a">Customer!$H$22</definedName>
    <definedName name="info7b">Customer!$H$23</definedName>
    <definedName name="info7c">Customer!$H$24</definedName>
    <definedName name="LeftorRight">'Drop-downs'!$A$27:$A$28</definedName>
    <definedName name="List_Price">'Pricing (Summary)'!$J$21</definedName>
    <definedName name="Load_Range">'Drop-downs'!$A$111:$A$113</definedName>
    <definedName name="MinDia">'Drop-downs'!$G$3</definedName>
    <definedName name="MotorRange">Motors!$L$16:$AH$63</definedName>
    <definedName name="Net_to_Customer">'Pricing (Summary)'!$J$28</definedName>
    <definedName name="OilGrease">'Drop-downs'!$A$83:$A$85</definedName>
    <definedName name="Option_01">Controls!$G$22</definedName>
    <definedName name="Option_02">Controls!$G$29</definedName>
    <definedName name="Option_03">Controls!$G$31</definedName>
    <definedName name="Option_Sum">Controls!$K$32</definedName>
    <definedName name="p0q1">Specification!$E$12</definedName>
    <definedName name="P0Q12">Specification!$E$28</definedName>
    <definedName name="P0Q14">Specification!$E$15</definedName>
    <definedName name="P0Q2">Specification!$E$13</definedName>
    <definedName name="p0q3">Specification!$E$22</definedName>
    <definedName name="P0Q3_Select">Specification!$E$21</definedName>
    <definedName name="P0Q4">Specification!$E$26</definedName>
    <definedName name="P0Q4_Select">Specification!$E$25</definedName>
    <definedName name="P0Q5">Specification!$E$29</definedName>
    <definedName name="P0Q6">Specification!$E$30</definedName>
    <definedName name="p0q8">Specification!$E$18</definedName>
    <definedName name="p0q9">Specification!$E$19</definedName>
    <definedName name="P10Q1">Stand!$E$11</definedName>
    <definedName name="P10q10">Stand!$E$17</definedName>
    <definedName name="p10q11">Stand!$P$7</definedName>
    <definedName name="p10q12">Stand!$P$8</definedName>
    <definedName name="p10q13">Stand!$P$11</definedName>
    <definedName name="P10Q2">Stand!$E$13</definedName>
    <definedName name="P10Q3">Stand!$E$15</definedName>
    <definedName name="P10q8">Stand!$E$18</definedName>
    <definedName name="P10q9">Stand!$E$16</definedName>
    <definedName name="P12q1">'Page 12'!$H$5</definedName>
    <definedName name="P12q2">'Page 12'!$H$6</definedName>
    <definedName name="p12q3">'Page 12'!$H$7</definedName>
    <definedName name="P1Q1">'Drive Type'!$E$9</definedName>
    <definedName name="P1Q2">'Drive Type'!$E$11</definedName>
    <definedName name="P2Q1">'Drive Version'!$E$9</definedName>
    <definedName name="P2Q2">'Drive Version'!$M$23</definedName>
    <definedName name="P2Q3">'Drive Version'!$O$23</definedName>
    <definedName name="p2q4">'Drive Version'!$E$15</definedName>
    <definedName name="p2q5">'Drive Version'!$G$15</definedName>
    <definedName name="P2Q8">'Drive Version'!$S$20</definedName>
    <definedName name="P6Q1">Belt!$G$9</definedName>
    <definedName name="P6Q10">Belt!$I$16</definedName>
    <definedName name="P6Q2">Belt!$G$10</definedName>
    <definedName name="P6Q3">Belt!$G$11</definedName>
    <definedName name="P6Q4">Belt!$G$12</definedName>
    <definedName name="P6Q4a">Belt!$G$13</definedName>
    <definedName name="P6Q5">Belt!$G$14</definedName>
    <definedName name="P6Q6">Belt!$G$15</definedName>
    <definedName name="P6Q7">Belt!$G$16</definedName>
    <definedName name="P6Q8">Specification!$E$23</definedName>
    <definedName name="P6Q9">Specification!$E$16</definedName>
    <definedName name="P7EffectiveWidth">'Drop-downs'!$D$108</definedName>
    <definedName name="P7Q1">'Fixed Rail'!$E$9</definedName>
    <definedName name="P7Q2">'Fixed Rail'!$C$26</definedName>
    <definedName name="P7Q5">'Fixed Rail'!$J$26</definedName>
    <definedName name="P7Q7">'Fixed Rail'!$Q$16</definedName>
    <definedName name="P8Q1">'Adjustable Rail'!$C$25</definedName>
    <definedName name="Page10Cells">Stand!$E$11,Stand!$E$12</definedName>
    <definedName name="Page13Cells">Customer!$H$9,Customer!$H$11,Customer!$H$13,Customer!$F$13,Customer!$D$13,Customer!$H$15,Customer!$H$17,Customer!$H$18,Customer!$H$19,Customer!$H$20,Customer!$H$22,Customer!$H$23,Customer!$H$24</definedName>
    <definedName name="Page1Cells">'Drive Type'!$E$9,'Drive Type'!$E$11</definedName>
    <definedName name="Page6Range">Belt!$G$9:$G$16</definedName>
    <definedName name="Page7Cells" localSheetId="27">'Fixed Rail'!$E$9,'Fixed Rail'!$C$26,'Fixed Rail'!$F$16,'Fixed Rail'!#REF!,'Fixed Rail'!$J$26</definedName>
    <definedName name="Page7Cells">'Fixed Rail'!$E$9,'Fixed Rail'!$C$26,'Fixed Rail'!$F$16,'Fixed Rail'!#REF!,'Fixed Rail'!$J$26</definedName>
    <definedName name="Page7Test">'Drop-downs'!$C$108</definedName>
    <definedName name="PartsRange">'Parts '!$A$3:$E$571</definedName>
    <definedName name="PreferredVoltage">'Drop-downs'!$A$50:$A$55</definedName>
    <definedName name="PrefMotor">'Drop-downs'!$A$58:$A$60</definedName>
    <definedName name="Price_01">Pricing!$Q$9</definedName>
    <definedName name="Price_02">Pricing!$Q$52</definedName>
    <definedName name="Price_03">Pricing!$Q$96</definedName>
    <definedName name="Price_04">Pricing!$Q$103</definedName>
    <definedName name="Price_05">Pricing!$Q$104</definedName>
    <definedName name="Price_06">Pricing!$Q$134</definedName>
    <definedName name="Price_07">Pricing!$Q$184</definedName>
    <definedName name="Price_08">Pricing!$Q$187</definedName>
    <definedName name="Price_09">Pricing!$Q$190</definedName>
    <definedName name="Price_10">Pricing!$Q$193</definedName>
    <definedName name="Price_11">Pricing!$Q$237</definedName>
    <definedName name="_xlnm.Print_Area" localSheetId="12">'Parts List'!$A$1:$I$137</definedName>
    <definedName name="_xlnm.Print_Area" localSheetId="10">Proposal!$A$1:$O$154</definedName>
    <definedName name="Proposal">Proposal!$A$1</definedName>
    <definedName name="quote1">Summary!$E$3</definedName>
    <definedName name="quote10">Summary!$L$53</definedName>
    <definedName name="quote103">Summary!$L$121</definedName>
    <definedName name="quote104">Summary!$E$22</definedName>
    <definedName name="quote105">Summary!$O$136</definedName>
    <definedName name="quote106">Summary!$L$123</definedName>
    <definedName name="quote111">Summary!$I$82</definedName>
    <definedName name="quote112">Summary!$C$87</definedName>
    <definedName name="quote113">Summary!$I$86</definedName>
    <definedName name="quote12">Summary!$I$93</definedName>
    <definedName name="quote13">Summary!$I$94</definedName>
    <definedName name="quote14">Summary!$I$95</definedName>
    <definedName name="quote16">Summary!$I$107</definedName>
    <definedName name="quote18">Summary!$L$109</definedName>
    <definedName name="quote19">Summary!$I$96</definedName>
    <definedName name="quote2">Summary!$E$4</definedName>
    <definedName name="quote20">Summary!$I$97</definedName>
    <definedName name="quote21">Summary!$C$33</definedName>
    <definedName name="quote22">Summary!$E$6</definedName>
    <definedName name="quote23">Summary!$I$22</definedName>
    <definedName name="quote24">Summary!$C$7</definedName>
    <definedName name="quote25">Summary!$I$98</definedName>
    <definedName name="quote26">Summary!$L$145</definedName>
    <definedName name="quote28">Summary!$L$146</definedName>
    <definedName name="quote3">Summary!$C$31</definedName>
    <definedName name="quote32">Summary!$C$100</definedName>
    <definedName name="quote34">Summary!$C$53</definedName>
    <definedName name="quote35">Summary!$L$58</definedName>
    <definedName name="quote4">Summary!$C$32</definedName>
    <definedName name="quote42">Summary!$I$124</definedName>
    <definedName name="quote43">Summary!$I$126</definedName>
    <definedName name="quote44">Summary!$L$111</definedName>
    <definedName name="quote45">Summary!$L$112</definedName>
    <definedName name="quote46">Summary!$L$113</definedName>
    <definedName name="quote47">Summary!$L$132</definedName>
    <definedName name="quote48">Summary!$L$135</definedName>
    <definedName name="quote49">Summary!$L$137</definedName>
    <definedName name="quote5">Summary!$E$36</definedName>
    <definedName name="quote50">Summary!$L$138</definedName>
    <definedName name="quote51">Summary!$I$134</definedName>
    <definedName name="quote52">Summary!$L$134</definedName>
    <definedName name="quote53">Summary!$I$156</definedName>
    <definedName name="quote54">Summary!$L$114</definedName>
    <definedName name="quote59">Summary!$E$21</definedName>
    <definedName name="quote6">Summary!$E$40</definedName>
    <definedName name="quote61">Summary!$I$50</definedName>
    <definedName name="quote62">Summary!$C$27</definedName>
    <definedName name="quote63">Summary!$E$25</definedName>
    <definedName name="quote64">Summary!$E$27</definedName>
    <definedName name="quote65">Summary!$I$31</definedName>
    <definedName name="quote66">Summary!$I$32</definedName>
    <definedName name="quote67">Summary!$M$31</definedName>
    <definedName name="quote68">Summary!$M$32</definedName>
    <definedName name="quote69">Summary!$M$33</definedName>
    <definedName name="quote7">Summary!$I$46</definedName>
    <definedName name="quote70" localSheetId="25">Stands!$B$9</definedName>
    <definedName name="quote70">Rails!$B$10</definedName>
    <definedName name="quote71">Summary!$L$115</definedName>
    <definedName name="quote72">Summary!$C$57</definedName>
    <definedName name="quote73">Summary!$C$58</definedName>
    <definedName name="quote74">Summary!$I$45</definedName>
    <definedName name="quote75">Summary!$C$56</definedName>
    <definedName name="quote76">Summary!$L$116</definedName>
    <definedName name="quote76a">Summary!$L$125</definedName>
    <definedName name="quote77">Summary!$I$132</definedName>
    <definedName name="quote78">Summary!$I$125</definedName>
    <definedName name="quote79">Summary!$I$127</definedName>
    <definedName name="quote8">Summary!$I$44</definedName>
    <definedName name="quote81">Summary!$L$117</definedName>
    <definedName name="quote82">Summary!$L$140</definedName>
    <definedName name="quote83">Summary!$L$141</definedName>
    <definedName name="quote86">Summary!$L$119</definedName>
    <definedName name="quote87">Summary!$B$165</definedName>
    <definedName name="quote88">Summary!$B$167</definedName>
    <definedName name="quote89">Summary!$B$166</definedName>
    <definedName name="quote9">Summary!$M$46</definedName>
    <definedName name="Rail0">'Drop-downs'!$A$97:$A$98</definedName>
    <definedName name="RailQuantity">'Drop-downs'!$A$93:$A$94</definedName>
    <definedName name="RCode">Rails!$B$54</definedName>
    <definedName name="ReqHp">'Page 12'!$H$6</definedName>
    <definedName name="Slider">'Drop-downs'!$A$19:$A$20</definedName>
    <definedName name="Spare_01">'Pricing (Summary)'!$L$51</definedName>
    <definedName name="Spare_02">'Pricing (Summary)'!$L$53</definedName>
    <definedName name="Spare_03">'Pricing (Summary)'!$L$54</definedName>
    <definedName name="Spec_Test">Specification!$M$27</definedName>
    <definedName name="Speed_Range">'Drop-downs'!$A$116:$A$117</definedName>
    <definedName name="SpeedControlOption">'Drop-downs'!$A$63:$A$65</definedName>
    <definedName name="SprocketD">Sprockets!$H$2</definedName>
    <definedName name="SprocketDZ1">Sprockets!$J$2</definedName>
    <definedName name="SprocketDZ2">Sprockets!$J$3</definedName>
    <definedName name="SprocketM">Sprockets!$H$3</definedName>
    <definedName name="SprocketRange">Sprockets!$E$17:$L$231</definedName>
    <definedName name="Start">Specification!$E$11</definedName>
    <definedName name="TailOptions">'Drop-downs'!$A$75:$A$80</definedName>
    <definedName name="YesorNo">'Drop-downs'!$A$15:$A$16</definedName>
    <definedName name="Yushin_Markup">'Pricing (Summary)'!$J$24</definedName>
    <definedName name="Yushin_Net">'Pricing (Summary)'!$J$23</definedName>
  </definedNames>
  <calcPr calcId="191029" iterate="1" iterateCount="10" iterateDelta="0.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1" i="26" l="1"/>
  <c r="J20" i="26" l="1"/>
  <c r="J18" i="26"/>
  <c r="M14" i="18"/>
  <c r="M13" i="18"/>
  <c r="M12" i="18"/>
  <c r="J27" i="26" l="1"/>
  <c r="J26" i="26"/>
  <c r="J25" i="26"/>
  <c r="I153" i="17" l="1"/>
  <c r="I31" i="17" l="1"/>
  <c r="C89" i="74" l="1"/>
  <c r="E89" i="74" s="1"/>
  <c r="B54" i="34"/>
  <c r="A85" i="34" s="1"/>
  <c r="A88" i="34" l="1"/>
  <c r="B89" i="74" s="1"/>
  <c r="J89" i="74" s="1"/>
  <c r="A83" i="34"/>
  <c r="B10" i="75" l="1"/>
  <c r="D141" i="33" l="1"/>
  <c r="E140" i="33"/>
  <c r="D138" i="33"/>
  <c r="E137" i="33"/>
  <c r="D108" i="33"/>
  <c r="E107" i="33"/>
  <c r="D105" i="33"/>
  <c r="E104" i="33"/>
  <c r="D101" i="33"/>
  <c r="E100" i="33"/>
  <c r="E99" i="33"/>
  <c r="E133" i="33"/>
  <c r="E132" i="33"/>
  <c r="D134" i="33"/>
  <c r="C143" i="19" l="1"/>
  <c r="AE27" i="20"/>
  <c r="J27" i="20"/>
  <c r="I27" i="20"/>
  <c r="E27" i="20"/>
  <c r="AE26" i="20"/>
  <c r="J26" i="20"/>
  <c r="I26" i="20"/>
  <c r="E26" i="20"/>
  <c r="AE25" i="20"/>
  <c r="J25" i="20"/>
  <c r="I25" i="20"/>
  <c r="E25" i="20"/>
  <c r="AE24" i="20"/>
  <c r="J24" i="20"/>
  <c r="I24" i="20"/>
  <c r="E24" i="20"/>
  <c r="AE23" i="20"/>
  <c r="J23" i="20"/>
  <c r="I23" i="20"/>
  <c r="E23" i="20"/>
  <c r="AE22" i="20"/>
  <c r="J22" i="20"/>
  <c r="I22" i="20"/>
  <c r="E22" i="20"/>
  <c r="AE21" i="20"/>
  <c r="J21" i="20"/>
  <c r="I21" i="20"/>
  <c r="E21" i="20"/>
  <c r="AE20" i="20"/>
  <c r="J20" i="20"/>
  <c r="I20" i="20"/>
  <c r="E20" i="20"/>
  <c r="AE19" i="20"/>
  <c r="J19" i="20"/>
  <c r="I19" i="20"/>
  <c r="E19" i="20"/>
  <c r="AE18" i="20"/>
  <c r="J18" i="20"/>
  <c r="I18" i="20"/>
  <c r="E18" i="20"/>
  <c r="AE17" i="20"/>
  <c r="J17" i="20"/>
  <c r="I17" i="20"/>
  <c r="E17" i="20"/>
  <c r="AE16" i="20"/>
  <c r="J16" i="20"/>
  <c r="I16" i="20"/>
  <c r="E16" i="20"/>
  <c r="F106" i="74"/>
  <c r="E98" i="74"/>
  <c r="E97" i="74"/>
  <c r="E24" i="74"/>
  <c r="C53" i="74"/>
  <c r="E53" i="74" s="1"/>
  <c r="C54" i="74"/>
  <c r="E54" i="74" s="1"/>
  <c r="F112" i="74"/>
  <c r="F111" i="74"/>
  <c r="D108" i="74"/>
  <c r="D107" i="74"/>
  <c r="C127" i="74"/>
  <c r="E127" i="74" s="1"/>
  <c r="C126" i="74"/>
  <c r="E126" i="74" s="1"/>
  <c r="C125" i="74"/>
  <c r="E125" i="74" s="1"/>
  <c r="C124" i="74"/>
  <c r="E124" i="74" s="1"/>
  <c r="C122" i="74"/>
  <c r="E122" i="74" s="1"/>
  <c r="C121" i="74"/>
  <c r="E121" i="74" s="1"/>
  <c r="C120" i="74"/>
  <c r="E120" i="74" s="1"/>
  <c r="C119" i="74"/>
  <c r="E119" i="74" s="1"/>
  <c r="C118" i="74"/>
  <c r="E118" i="74" s="1"/>
  <c r="C117" i="74"/>
  <c r="E117" i="74" s="1"/>
  <c r="C116" i="74"/>
  <c r="E116" i="74" s="1"/>
  <c r="C115" i="74"/>
  <c r="E115" i="74" s="1"/>
  <c r="C114" i="74"/>
  <c r="E114" i="74" s="1"/>
  <c r="C113" i="74"/>
  <c r="E113" i="74" s="1"/>
  <c r="C110" i="74"/>
  <c r="E110" i="74" s="1"/>
  <c r="C109" i="74"/>
  <c r="E109" i="74" s="1"/>
  <c r="C108" i="74"/>
  <c r="E108" i="74" s="1"/>
  <c r="C107" i="74"/>
  <c r="E107" i="74" s="1"/>
  <c r="B123" i="74"/>
  <c r="J123" i="74" s="1"/>
  <c r="B121" i="74"/>
  <c r="J121" i="74" s="1"/>
  <c r="B120" i="74"/>
  <c r="J120" i="74" s="1"/>
  <c r="B119" i="74"/>
  <c r="J119" i="74" s="1"/>
  <c r="B118" i="74"/>
  <c r="J118" i="74" s="1"/>
  <c r="B110" i="74"/>
  <c r="J110" i="74" s="1"/>
  <c r="B109" i="74"/>
  <c r="J109" i="74" s="1"/>
  <c r="H85" i="74"/>
  <c r="B86" i="74"/>
  <c r="J86" i="74" s="1"/>
  <c r="B85" i="74"/>
  <c r="J85" i="74" s="1"/>
  <c r="E76" i="74"/>
  <c r="E75" i="74"/>
  <c r="B76" i="74"/>
  <c r="J76" i="74" s="1"/>
  <c r="B75" i="74"/>
  <c r="J75" i="74" s="1"/>
  <c r="E68" i="74"/>
  <c r="C55" i="74"/>
  <c r="E55" i="74" s="1"/>
  <c r="A1" i="74"/>
  <c r="A2" i="74"/>
  <c r="C19" i="74"/>
  <c r="C18" i="74"/>
  <c r="B11" i="74"/>
  <c r="J11" i="74" s="1"/>
  <c r="C11" i="74"/>
  <c r="G40" i="19"/>
  <c r="M23" i="8"/>
  <c r="M15" i="8"/>
  <c r="M13" i="8"/>
  <c r="G45" i="19"/>
  <c r="G42" i="19"/>
  <c r="E26" i="8"/>
  <c r="E22" i="8"/>
  <c r="C113" i="19"/>
  <c r="G62" i="19"/>
  <c r="G65" i="19"/>
  <c r="K31" i="73"/>
  <c r="K29" i="73"/>
  <c r="AO25" i="11"/>
  <c r="AN25" i="11"/>
  <c r="AL25" i="11"/>
  <c r="AK25" i="11"/>
  <c r="AJ25" i="11"/>
  <c r="AI25" i="11"/>
  <c r="AF25" i="11"/>
  <c r="AE25" i="11"/>
  <c r="AD25" i="11"/>
  <c r="M10" i="18"/>
  <c r="C59" i="19"/>
  <c r="C6" i="19"/>
  <c r="G75" i="19"/>
  <c r="N74" i="19"/>
  <c r="M74" i="19"/>
  <c r="L74" i="19"/>
  <c r="K74" i="19"/>
  <c r="J74" i="19"/>
  <c r="I74" i="19"/>
  <c r="H74" i="19"/>
  <c r="G74" i="19"/>
  <c r="G30" i="19"/>
  <c r="AI28" i="11"/>
  <c r="AI27" i="11"/>
  <c r="AI26" i="11"/>
  <c r="AI24" i="11"/>
  <c r="AI23" i="11"/>
  <c r="AI22" i="11"/>
  <c r="AI21" i="11"/>
  <c r="AI20" i="11"/>
  <c r="G15" i="5"/>
  <c r="S12" i="5" s="1"/>
  <c r="D30" i="28"/>
  <c r="AO28" i="11"/>
  <c r="AN28" i="11"/>
  <c r="AL28" i="11"/>
  <c r="AK28" i="11"/>
  <c r="AJ28" i="11"/>
  <c r="AF28" i="11"/>
  <c r="AE28" i="11"/>
  <c r="AD28" i="11"/>
  <c r="AO27" i="11"/>
  <c r="AN27" i="11"/>
  <c r="AL27" i="11"/>
  <c r="AK27" i="11"/>
  <c r="AJ27" i="11"/>
  <c r="AF27" i="11"/>
  <c r="AE27" i="11"/>
  <c r="AD27" i="11"/>
  <c r="C31" i="61"/>
  <c r="C32" i="61"/>
  <c r="M193" i="21"/>
  <c r="M237" i="21"/>
  <c r="B9" i="34"/>
  <c r="N6" i="33"/>
  <c r="N150" i="33" s="1"/>
  <c r="I46" i="17"/>
  <c r="F13" i="8"/>
  <c r="B240" i="21"/>
  <c r="B241" i="21" s="1"/>
  <c r="B242" i="21" s="1"/>
  <c r="B243" i="21" s="1"/>
  <c r="B244" i="21" s="1"/>
  <c r="B245" i="21" s="1"/>
  <c r="B246" i="21" s="1"/>
  <c r="B247" i="21" s="1"/>
  <c r="B248" i="21" s="1"/>
  <c r="B249" i="21" s="1"/>
  <c r="B250" i="21" s="1"/>
  <c r="B251" i="21" s="1"/>
  <c r="B252" i="21" s="1"/>
  <c r="B253" i="21" s="1"/>
  <c r="B254" i="21" s="1"/>
  <c r="B255" i="21" s="1"/>
  <c r="B256" i="21" s="1"/>
  <c r="B257" i="21" s="1"/>
  <c r="B258" i="21" s="1"/>
  <c r="B259" i="21" s="1"/>
  <c r="B260" i="21" s="1"/>
  <c r="B261" i="21" s="1"/>
  <c r="B262" i="21" s="1"/>
  <c r="B263" i="21" s="1"/>
  <c r="B264" i="21" s="1"/>
  <c r="B265" i="21" s="1"/>
  <c r="B266" i="21" s="1"/>
  <c r="B267" i="21" s="1"/>
  <c r="B268" i="21" s="1"/>
  <c r="B269" i="21" s="1"/>
  <c r="B270" i="21" s="1"/>
  <c r="B271" i="21" s="1"/>
  <c r="B272" i="21" s="1"/>
  <c r="B273" i="21" s="1"/>
  <c r="B274" i="21" s="1"/>
  <c r="B275" i="21" s="1"/>
  <c r="B276" i="21" s="1"/>
  <c r="B277" i="21" s="1"/>
  <c r="B278" i="21" s="1"/>
  <c r="B196" i="21"/>
  <c r="B197" i="21" s="1"/>
  <c r="B198" i="21" s="1"/>
  <c r="B199" i="21" s="1"/>
  <c r="B200" i="21" s="1"/>
  <c r="B201" i="21" s="1"/>
  <c r="B202" i="21" s="1"/>
  <c r="B203" i="21" s="1"/>
  <c r="B204" i="21" s="1"/>
  <c r="B205" i="21" s="1"/>
  <c r="B206" i="21" s="1"/>
  <c r="B207" i="21" s="1"/>
  <c r="B208" i="21" s="1"/>
  <c r="B209" i="21" s="1"/>
  <c r="B210" i="21" s="1"/>
  <c r="B211" i="21" s="1"/>
  <c r="B212" i="21" s="1"/>
  <c r="B213" i="21" s="1"/>
  <c r="B214" i="21" s="1"/>
  <c r="B215" i="21" s="1"/>
  <c r="B216" i="21" s="1"/>
  <c r="B217" i="21" s="1"/>
  <c r="B218" i="21" s="1"/>
  <c r="B219" i="21" s="1"/>
  <c r="B220" i="21" s="1"/>
  <c r="B221" i="21" s="1"/>
  <c r="B222" i="21" s="1"/>
  <c r="B223" i="21" s="1"/>
  <c r="B224" i="21" s="1"/>
  <c r="B225" i="21" s="1"/>
  <c r="B226" i="21" s="1"/>
  <c r="B227" i="21" s="1"/>
  <c r="B228" i="21" s="1"/>
  <c r="B229" i="21" s="1"/>
  <c r="B230" i="21" s="1"/>
  <c r="B231" i="21" s="1"/>
  <c r="B232" i="21" s="1"/>
  <c r="B233" i="21" s="1"/>
  <c r="B234" i="21" s="1"/>
  <c r="C48" i="17"/>
  <c r="M190" i="21"/>
  <c r="I44" i="17"/>
  <c r="C32" i="28"/>
  <c r="D32" i="28" s="1"/>
  <c r="C33" i="28"/>
  <c r="D33" i="28" s="1"/>
  <c r="C27" i="28"/>
  <c r="Q15" i="70"/>
  <c r="Q14" i="70"/>
  <c r="Q13" i="70"/>
  <c r="Q11" i="70"/>
  <c r="Q12" i="70"/>
  <c r="O187" i="21"/>
  <c r="O184" i="21"/>
  <c r="M134" i="21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C111" i="17"/>
  <c r="E38" i="20"/>
  <c r="J38" i="20"/>
  <c r="E39" i="20"/>
  <c r="J39" i="20"/>
  <c r="E40" i="20"/>
  <c r="J40" i="20"/>
  <c r="E41" i="20"/>
  <c r="J41" i="20"/>
  <c r="E42" i="20"/>
  <c r="J42" i="20"/>
  <c r="E43" i="20"/>
  <c r="J43" i="20"/>
  <c r="E44" i="20"/>
  <c r="J44" i="20"/>
  <c r="E45" i="20"/>
  <c r="J45" i="20"/>
  <c r="E46" i="20"/>
  <c r="J46" i="20"/>
  <c r="E47" i="20"/>
  <c r="J47" i="20"/>
  <c r="E48" i="20"/>
  <c r="J48" i="20"/>
  <c r="E49" i="20"/>
  <c r="J49" i="20"/>
  <c r="E50" i="20"/>
  <c r="J50" i="20"/>
  <c r="E51" i="20"/>
  <c r="J51" i="20"/>
  <c r="E52" i="20"/>
  <c r="J52" i="20"/>
  <c r="E53" i="20"/>
  <c r="J53" i="20"/>
  <c r="E54" i="20"/>
  <c r="J54" i="20"/>
  <c r="E55" i="20"/>
  <c r="J55" i="20"/>
  <c r="E56" i="20"/>
  <c r="J56" i="20"/>
  <c r="E57" i="20"/>
  <c r="J57" i="20"/>
  <c r="E58" i="20"/>
  <c r="J58" i="20"/>
  <c r="E59" i="20"/>
  <c r="J59" i="20"/>
  <c r="E60" i="20"/>
  <c r="J60" i="20"/>
  <c r="E61" i="20"/>
  <c r="J61" i="20"/>
  <c r="E62" i="20"/>
  <c r="J62" i="20"/>
  <c r="E63" i="20"/>
  <c r="J63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C99" i="17"/>
  <c r="P9" i="27"/>
  <c r="P8" i="27"/>
  <c r="P7" i="27"/>
  <c r="E13" i="27"/>
  <c r="O134" i="21" s="1"/>
  <c r="Q134" i="21" s="1"/>
  <c r="D41" i="26" s="1"/>
  <c r="I94" i="17"/>
  <c r="B93" i="35" s="1"/>
  <c r="I93" i="17"/>
  <c r="H72" i="19" s="1"/>
  <c r="K12" i="27"/>
  <c r="E18" i="27"/>
  <c r="C97" i="17" s="1"/>
  <c r="E31" i="20"/>
  <c r="J31" i="20"/>
  <c r="E32" i="20"/>
  <c r="J32" i="20"/>
  <c r="E33" i="20"/>
  <c r="J33" i="20"/>
  <c r="E34" i="20"/>
  <c r="J34" i="20"/>
  <c r="E35" i="20"/>
  <c r="J35" i="20"/>
  <c r="E36" i="20"/>
  <c r="J36" i="20"/>
  <c r="E37" i="20"/>
  <c r="J37" i="20"/>
  <c r="AE37" i="20"/>
  <c r="AE36" i="20"/>
  <c r="AE35" i="20"/>
  <c r="AE34" i="20"/>
  <c r="AE33" i="20"/>
  <c r="AE32" i="20"/>
  <c r="AE31" i="20"/>
  <c r="I119" i="17"/>
  <c r="I120" i="17"/>
  <c r="C6" i="61"/>
  <c r="C5" i="61"/>
  <c r="C27" i="17"/>
  <c r="E21" i="17"/>
  <c r="B4" i="35" s="1"/>
  <c r="C10" i="17"/>
  <c r="N15" i="20"/>
  <c r="O15" i="20" s="1"/>
  <c r="P15" i="20" s="1"/>
  <c r="Q15" i="20" s="1"/>
  <c r="R15" i="20" s="1"/>
  <c r="S15" i="20" s="1"/>
  <c r="T15" i="20" s="1"/>
  <c r="U15" i="20" s="1"/>
  <c r="V15" i="20" s="1"/>
  <c r="W15" i="20" s="1"/>
  <c r="X15" i="20" s="1"/>
  <c r="Y15" i="20" s="1"/>
  <c r="Z15" i="20" s="1"/>
  <c r="AA15" i="20" s="1"/>
  <c r="AB15" i="20" s="1"/>
  <c r="AC15" i="20" s="1"/>
  <c r="AD15" i="20" s="1"/>
  <c r="AE15" i="20" s="1"/>
  <c r="AF15" i="20" s="1"/>
  <c r="AG15" i="20" s="1"/>
  <c r="AH15" i="20" s="1"/>
  <c r="K17" i="38"/>
  <c r="L17" i="38"/>
  <c r="K18" i="38"/>
  <c r="L18" i="38"/>
  <c r="K19" i="38"/>
  <c r="L19" i="38"/>
  <c r="K20" i="38"/>
  <c r="L20" i="38"/>
  <c r="K21" i="38"/>
  <c r="L21" i="38"/>
  <c r="K22" i="38"/>
  <c r="L22" i="38"/>
  <c r="K23" i="38"/>
  <c r="L23" i="38"/>
  <c r="K24" i="38"/>
  <c r="L24" i="38"/>
  <c r="K25" i="38"/>
  <c r="L25" i="38"/>
  <c r="K26" i="38"/>
  <c r="L26" i="38"/>
  <c r="K27" i="38"/>
  <c r="L27" i="38"/>
  <c r="L28" i="38"/>
  <c r="L29" i="38"/>
  <c r="L30" i="38"/>
  <c r="L31" i="38"/>
  <c r="L32" i="38"/>
  <c r="L33" i="38"/>
  <c r="L34" i="38"/>
  <c r="L35" i="38"/>
  <c r="L36" i="38"/>
  <c r="L37" i="38"/>
  <c r="K38" i="38"/>
  <c r="L38" i="38"/>
  <c r="K39" i="38"/>
  <c r="L39" i="38"/>
  <c r="K40" i="38"/>
  <c r="L40" i="38"/>
  <c r="K41" i="38"/>
  <c r="L41" i="38"/>
  <c r="K42" i="38"/>
  <c r="L42" i="38"/>
  <c r="K43" i="38"/>
  <c r="L43" i="38"/>
  <c r="K44" i="38"/>
  <c r="L44" i="38"/>
  <c r="K45" i="38"/>
  <c r="L45" i="38"/>
  <c r="K46" i="38"/>
  <c r="L46" i="38"/>
  <c r="K47" i="38"/>
  <c r="L47" i="38"/>
  <c r="K48" i="38"/>
  <c r="L48" i="38"/>
  <c r="K49" i="38"/>
  <c r="L49" i="38"/>
  <c r="K50" i="38"/>
  <c r="L50" i="38"/>
  <c r="K51" i="38"/>
  <c r="L51" i="38"/>
  <c r="K52" i="38"/>
  <c r="L52" i="38"/>
  <c r="K53" i="38"/>
  <c r="L53" i="38"/>
  <c r="K54" i="38"/>
  <c r="L54" i="38"/>
  <c r="K55" i="38"/>
  <c r="L55" i="38"/>
  <c r="K56" i="38"/>
  <c r="L56" i="38"/>
  <c r="L57" i="38"/>
  <c r="L58" i="38"/>
  <c r="L59" i="38"/>
  <c r="L60" i="38"/>
  <c r="L61" i="38"/>
  <c r="L62" i="38"/>
  <c r="L63" i="38"/>
  <c r="L64" i="38"/>
  <c r="L65" i="38"/>
  <c r="L66" i="38"/>
  <c r="K67" i="38"/>
  <c r="L67" i="38"/>
  <c r="K68" i="38"/>
  <c r="L68" i="38"/>
  <c r="K69" i="38"/>
  <c r="L69" i="38"/>
  <c r="K70" i="38"/>
  <c r="L70" i="38"/>
  <c r="K71" i="38"/>
  <c r="L71" i="38"/>
  <c r="K72" i="38"/>
  <c r="L72" i="38"/>
  <c r="K73" i="38"/>
  <c r="L73" i="38"/>
  <c r="K74" i="38"/>
  <c r="L74" i="38"/>
  <c r="K75" i="38"/>
  <c r="L75" i="38"/>
  <c r="K76" i="38"/>
  <c r="L76" i="38"/>
  <c r="K77" i="38"/>
  <c r="L77" i="38"/>
  <c r="K78" i="38"/>
  <c r="L78" i="38"/>
  <c r="K79" i="38"/>
  <c r="L79" i="38"/>
  <c r="K80" i="38"/>
  <c r="L80" i="38"/>
  <c r="K81" i="38"/>
  <c r="L81" i="38"/>
  <c r="K82" i="38"/>
  <c r="L82" i="38"/>
  <c r="K83" i="38"/>
  <c r="L83" i="38"/>
  <c r="K84" i="38"/>
  <c r="L84" i="38"/>
  <c r="K85" i="38"/>
  <c r="L85" i="38"/>
  <c r="L86" i="38"/>
  <c r="L87" i="38"/>
  <c r="L88" i="38"/>
  <c r="L89" i="38"/>
  <c r="L90" i="38"/>
  <c r="L91" i="38"/>
  <c r="L92" i="38"/>
  <c r="L93" i="38"/>
  <c r="L94" i="38"/>
  <c r="L95" i="38"/>
  <c r="K96" i="38"/>
  <c r="L96" i="38"/>
  <c r="K97" i="38"/>
  <c r="L97" i="38"/>
  <c r="K98" i="38"/>
  <c r="L98" i="38"/>
  <c r="K99" i="38"/>
  <c r="L99" i="38"/>
  <c r="K100" i="38"/>
  <c r="L100" i="38"/>
  <c r="K101" i="38"/>
  <c r="L101" i="38"/>
  <c r="K102" i="38"/>
  <c r="L102" i="38"/>
  <c r="K103" i="38"/>
  <c r="L103" i="38"/>
  <c r="K104" i="38"/>
  <c r="L104" i="38"/>
  <c r="K105" i="38"/>
  <c r="L105" i="38"/>
  <c r="K106" i="38"/>
  <c r="L106" i="38"/>
  <c r="K107" i="38"/>
  <c r="L107" i="38"/>
  <c r="K108" i="38"/>
  <c r="L108" i="38"/>
  <c r="K109" i="38"/>
  <c r="L109" i="38"/>
  <c r="K110" i="38"/>
  <c r="L110" i="38"/>
  <c r="K111" i="38"/>
  <c r="L111" i="38"/>
  <c r="K112" i="38"/>
  <c r="L112" i="38"/>
  <c r="K113" i="38"/>
  <c r="L113" i="38"/>
  <c r="K114" i="38"/>
  <c r="L114" i="38"/>
  <c r="L115" i="38"/>
  <c r="L116" i="38"/>
  <c r="L117" i="38"/>
  <c r="L118" i="38"/>
  <c r="L119" i="38"/>
  <c r="L120" i="38"/>
  <c r="L121" i="38"/>
  <c r="L122" i="38"/>
  <c r="L123" i="38"/>
  <c r="L124" i="38"/>
  <c r="K125" i="38"/>
  <c r="L125" i="38"/>
  <c r="K126" i="38"/>
  <c r="L126" i="38"/>
  <c r="K127" i="38"/>
  <c r="L127" i="38"/>
  <c r="K128" i="38"/>
  <c r="L128" i="38"/>
  <c r="K129" i="38"/>
  <c r="L129" i="38"/>
  <c r="K130" i="38"/>
  <c r="L130" i="38"/>
  <c r="K131" i="38"/>
  <c r="L131" i="38"/>
  <c r="K132" i="38"/>
  <c r="L132" i="38"/>
  <c r="K133" i="38"/>
  <c r="L133" i="38"/>
  <c r="K134" i="38"/>
  <c r="L134" i="38"/>
  <c r="K135" i="38"/>
  <c r="L135" i="38"/>
  <c r="K136" i="38"/>
  <c r="L136" i="38"/>
  <c r="K137" i="38"/>
  <c r="L137" i="38"/>
  <c r="K138" i="38"/>
  <c r="L138" i="38"/>
  <c r="K139" i="38"/>
  <c r="L139" i="38"/>
  <c r="K140" i="38"/>
  <c r="L140" i="38"/>
  <c r="K141" i="38"/>
  <c r="L141" i="38"/>
  <c r="K142" i="38"/>
  <c r="L142" i="38"/>
  <c r="K143" i="38"/>
  <c r="L143" i="38"/>
  <c r="L144" i="38"/>
  <c r="L145" i="38"/>
  <c r="L146" i="38"/>
  <c r="L147" i="38"/>
  <c r="L148" i="38"/>
  <c r="L149" i="38"/>
  <c r="L150" i="38"/>
  <c r="L151" i="38"/>
  <c r="L152" i="38"/>
  <c r="L153" i="38"/>
  <c r="K154" i="38"/>
  <c r="L154" i="38"/>
  <c r="K155" i="38"/>
  <c r="L155" i="38"/>
  <c r="K156" i="38"/>
  <c r="L156" i="38"/>
  <c r="K157" i="38"/>
  <c r="L157" i="38"/>
  <c r="K158" i="38"/>
  <c r="L158" i="38"/>
  <c r="K159" i="38"/>
  <c r="L159" i="38"/>
  <c r="K160" i="38"/>
  <c r="L160" i="38"/>
  <c r="K161" i="38"/>
  <c r="L161" i="38"/>
  <c r="K162" i="38"/>
  <c r="L162" i="38"/>
  <c r="K163" i="38"/>
  <c r="L163" i="38"/>
  <c r="K164" i="38"/>
  <c r="L164" i="38"/>
  <c r="K165" i="38"/>
  <c r="L165" i="38"/>
  <c r="L166" i="38"/>
  <c r="L167" i="38"/>
  <c r="L168" i="38"/>
  <c r="L169" i="38"/>
  <c r="L170" i="38"/>
  <c r="L171" i="38"/>
  <c r="L172" i="38"/>
  <c r="L173" i="38"/>
  <c r="L174" i="38"/>
  <c r="L175" i="38"/>
  <c r="L176" i="38"/>
  <c r="L177" i="38"/>
  <c r="L178" i="38"/>
  <c r="L179" i="38"/>
  <c r="L180" i="38"/>
  <c r="L181" i="38"/>
  <c r="L182" i="38"/>
  <c r="K183" i="38"/>
  <c r="L183" i="38"/>
  <c r="K184" i="38"/>
  <c r="L184" i="38"/>
  <c r="K185" i="38"/>
  <c r="L185" i="38"/>
  <c r="K186" i="38"/>
  <c r="L186" i="38"/>
  <c r="K187" i="38"/>
  <c r="L187" i="38"/>
  <c r="K188" i="38"/>
  <c r="L188" i="38"/>
  <c r="K189" i="38"/>
  <c r="L189" i="38"/>
  <c r="K190" i="38"/>
  <c r="L190" i="38"/>
  <c r="K191" i="38"/>
  <c r="L191" i="38"/>
  <c r="K192" i="38"/>
  <c r="L192" i="38"/>
  <c r="K193" i="38"/>
  <c r="L193" i="38"/>
  <c r="K194" i="38"/>
  <c r="L194" i="38"/>
  <c r="K195" i="38"/>
  <c r="L195" i="38"/>
  <c r="K196" i="38"/>
  <c r="L196" i="38"/>
  <c r="K197" i="38"/>
  <c r="L197" i="38"/>
  <c r="K198" i="38"/>
  <c r="L198" i="38"/>
  <c r="K199" i="38"/>
  <c r="L199" i="38"/>
  <c r="K200" i="38"/>
  <c r="L200" i="38"/>
  <c r="K201" i="38"/>
  <c r="L201" i="38"/>
  <c r="K202" i="38"/>
  <c r="L202" i="38"/>
  <c r="K203" i="38"/>
  <c r="L203" i="38"/>
  <c r="K204" i="38"/>
  <c r="L204" i="38"/>
  <c r="K205" i="38"/>
  <c r="L205" i="38"/>
  <c r="K206" i="38"/>
  <c r="L206" i="38"/>
  <c r="K207" i="38"/>
  <c r="L207" i="38"/>
  <c r="K208" i="38"/>
  <c r="L208" i="38"/>
  <c r="K209" i="38"/>
  <c r="L209" i="38"/>
  <c r="K210" i="38"/>
  <c r="L210" i="38"/>
  <c r="K211" i="38"/>
  <c r="L211" i="38"/>
  <c r="K212" i="38"/>
  <c r="L212" i="38"/>
  <c r="K213" i="38"/>
  <c r="L213" i="38"/>
  <c r="K214" i="38"/>
  <c r="L214" i="38"/>
  <c r="K215" i="38"/>
  <c r="L215" i="38"/>
  <c r="K216" i="38"/>
  <c r="L216" i="38"/>
  <c r="K217" i="38"/>
  <c r="L217" i="38"/>
  <c r="K218" i="38"/>
  <c r="L218" i="38"/>
  <c r="K219" i="38"/>
  <c r="L219" i="38"/>
  <c r="K220" i="38"/>
  <c r="L220" i="38"/>
  <c r="K221" i="38"/>
  <c r="L221" i="38"/>
  <c r="K222" i="38"/>
  <c r="L222" i="38"/>
  <c r="K223" i="38"/>
  <c r="L223" i="38"/>
  <c r="K224" i="38"/>
  <c r="L224" i="38"/>
  <c r="K225" i="38"/>
  <c r="L225" i="38"/>
  <c r="K226" i="38"/>
  <c r="L226" i="38"/>
  <c r="K227" i="38"/>
  <c r="L227" i="38"/>
  <c r="K228" i="38"/>
  <c r="L228" i="38"/>
  <c r="K229" i="38"/>
  <c r="L229" i="38"/>
  <c r="K230" i="38"/>
  <c r="L230" i="38"/>
  <c r="K231" i="38"/>
  <c r="L231" i="38"/>
  <c r="C4" i="1"/>
  <c r="D20" i="1" s="1"/>
  <c r="C8" i="1"/>
  <c r="D21" i="1" s="1"/>
  <c r="C9" i="1"/>
  <c r="D26" i="1" s="1"/>
  <c r="C11" i="1"/>
  <c r="C13" i="1"/>
  <c r="I19" i="1" s="1"/>
  <c r="J20" i="1"/>
  <c r="H58" i="34"/>
  <c r="H59" i="34" s="1"/>
  <c r="H60" i="34" s="1"/>
  <c r="H61" i="34" s="1"/>
  <c r="H62" i="34" s="1"/>
  <c r="H63" i="34" s="1"/>
  <c r="H64" i="34" s="1"/>
  <c r="H65" i="34" s="1"/>
  <c r="H66" i="34" s="1"/>
  <c r="O103" i="21"/>
  <c r="B105" i="21"/>
  <c r="C105" i="21"/>
  <c r="B106" i="21"/>
  <c r="C106" i="21"/>
  <c r="B107" i="21"/>
  <c r="C107" i="21"/>
  <c r="B108" i="21"/>
  <c r="C108" i="21"/>
  <c r="B109" i="21"/>
  <c r="C109" i="21"/>
  <c r="B110" i="21"/>
  <c r="C110" i="21"/>
  <c r="B111" i="21"/>
  <c r="C111" i="21"/>
  <c r="B112" i="21"/>
  <c r="C112" i="21"/>
  <c r="B113" i="21"/>
  <c r="C113" i="21"/>
  <c r="B114" i="21"/>
  <c r="C114" i="21"/>
  <c r="B115" i="21"/>
  <c r="C115" i="21"/>
  <c r="B116" i="21"/>
  <c r="C116" i="21"/>
  <c r="B117" i="21"/>
  <c r="C117" i="21"/>
  <c r="B118" i="21"/>
  <c r="B104" i="21" s="1"/>
  <c r="C118" i="21"/>
  <c r="C104" i="21" s="1"/>
  <c r="M380" i="21"/>
  <c r="B3" i="35"/>
  <c r="B31" i="35"/>
  <c r="C132" i="74" s="1"/>
  <c r="E132" i="74" s="1"/>
  <c r="B32" i="35"/>
  <c r="C133" i="74" s="1"/>
  <c r="E133" i="74" s="1"/>
  <c r="B33" i="35"/>
  <c r="C134" i="74" s="1"/>
  <c r="E134" i="74" s="1"/>
  <c r="B34" i="35"/>
  <c r="C135" i="74" s="1"/>
  <c r="E135" i="74" s="1"/>
  <c r="J40" i="35"/>
  <c r="B41" i="35"/>
  <c r="L41" i="35"/>
  <c r="H91" i="35"/>
  <c r="F113" i="74" s="1"/>
  <c r="H92" i="35"/>
  <c r="F114" i="74" s="1"/>
  <c r="E37" i="60"/>
  <c r="E39" i="60"/>
  <c r="E41" i="60"/>
  <c r="E42" i="60"/>
  <c r="C11" i="61"/>
  <c r="C15" i="61"/>
  <c r="C17" i="61"/>
  <c r="C12" i="62"/>
  <c r="H13" i="62"/>
  <c r="C17" i="62"/>
  <c r="I43" i="62"/>
  <c r="C11" i="26"/>
  <c r="F13" i="26"/>
  <c r="D34" i="26"/>
  <c r="C52" i="26"/>
  <c r="I53" i="26"/>
  <c r="E2" i="33"/>
  <c r="N119" i="33"/>
  <c r="E7" i="33"/>
  <c r="E8" i="33"/>
  <c r="R34" i="33" s="1"/>
  <c r="O28" i="33"/>
  <c r="R28" i="33"/>
  <c r="U28" i="33"/>
  <c r="V28" i="33"/>
  <c r="O29" i="33"/>
  <c r="R29" i="33"/>
  <c r="U29" i="33"/>
  <c r="V29" i="33"/>
  <c r="O30" i="33"/>
  <c r="R30" i="33"/>
  <c r="U30" i="33"/>
  <c r="V30" i="33"/>
  <c r="O31" i="33"/>
  <c r="R31" i="33"/>
  <c r="U31" i="33"/>
  <c r="V31" i="33"/>
  <c r="O32" i="33"/>
  <c r="R32" i="33"/>
  <c r="U32" i="33"/>
  <c r="V32" i="33"/>
  <c r="O33" i="33"/>
  <c r="U33" i="33"/>
  <c r="V33" i="33"/>
  <c r="O34" i="33"/>
  <c r="U34" i="33"/>
  <c r="V34" i="33"/>
  <c r="O35" i="33"/>
  <c r="U35" i="33"/>
  <c r="V35" i="33"/>
  <c r="O36" i="33"/>
  <c r="U36" i="33"/>
  <c r="V36" i="33"/>
  <c r="O37" i="33"/>
  <c r="U37" i="33"/>
  <c r="V37" i="33"/>
  <c r="O38" i="33"/>
  <c r="U38" i="33"/>
  <c r="V38" i="33"/>
  <c r="O39" i="33"/>
  <c r="U39" i="33"/>
  <c r="V39" i="33"/>
  <c r="O40" i="33"/>
  <c r="U40" i="33"/>
  <c r="V40" i="33"/>
  <c r="O41" i="33"/>
  <c r="U41" i="33"/>
  <c r="V41" i="33"/>
  <c r="O42" i="33"/>
  <c r="U42" i="33"/>
  <c r="V42" i="33"/>
  <c r="O43" i="33"/>
  <c r="R43" i="33"/>
  <c r="U43" i="33"/>
  <c r="V43" i="33"/>
  <c r="O44" i="33"/>
  <c r="U44" i="33"/>
  <c r="V44" i="33"/>
  <c r="O45" i="33"/>
  <c r="U45" i="33"/>
  <c r="V45" i="33"/>
  <c r="O46" i="33"/>
  <c r="U46" i="33"/>
  <c r="V46" i="33"/>
  <c r="O47" i="33"/>
  <c r="U47" i="33"/>
  <c r="V47" i="33"/>
  <c r="O48" i="33"/>
  <c r="R48" i="33"/>
  <c r="U48" i="33"/>
  <c r="V48" i="33"/>
  <c r="O49" i="33"/>
  <c r="R49" i="33"/>
  <c r="U49" i="33"/>
  <c r="V49" i="33"/>
  <c r="O50" i="33"/>
  <c r="R50" i="33"/>
  <c r="U50" i="33"/>
  <c r="V50" i="33"/>
  <c r="O51" i="33"/>
  <c r="R51" i="33"/>
  <c r="U51" i="33"/>
  <c r="V51" i="33"/>
  <c r="S57" i="33"/>
  <c r="T57" i="33"/>
  <c r="S58" i="33"/>
  <c r="T58" i="33"/>
  <c r="S59" i="33"/>
  <c r="T59" i="33"/>
  <c r="S60" i="33"/>
  <c r="T60" i="33"/>
  <c r="S61" i="33"/>
  <c r="T61" i="33"/>
  <c r="S62" i="33"/>
  <c r="T62" i="33"/>
  <c r="S63" i="33"/>
  <c r="T63" i="33"/>
  <c r="S64" i="33"/>
  <c r="T64" i="33"/>
  <c r="S65" i="33"/>
  <c r="T65" i="33"/>
  <c r="S66" i="33"/>
  <c r="T66" i="33"/>
  <c r="S67" i="33"/>
  <c r="T67" i="33"/>
  <c r="S68" i="33"/>
  <c r="T68" i="33"/>
  <c r="S69" i="33"/>
  <c r="T69" i="33"/>
  <c r="S70" i="33"/>
  <c r="T70" i="33"/>
  <c r="S71" i="33"/>
  <c r="T71" i="33"/>
  <c r="S72" i="33"/>
  <c r="T72" i="33"/>
  <c r="S73" i="33"/>
  <c r="T73" i="33"/>
  <c r="S74" i="33"/>
  <c r="T74" i="33"/>
  <c r="S75" i="33"/>
  <c r="T75" i="33"/>
  <c r="S76" i="33"/>
  <c r="T76" i="33"/>
  <c r="S77" i="33"/>
  <c r="T77" i="33"/>
  <c r="S78" i="33"/>
  <c r="T78" i="33"/>
  <c r="S79" i="33"/>
  <c r="T79" i="33"/>
  <c r="S80" i="33"/>
  <c r="T80" i="33"/>
  <c r="S81" i="33"/>
  <c r="T81" i="33"/>
  <c r="S82" i="33"/>
  <c r="T82" i="33"/>
  <c r="S83" i="33"/>
  <c r="T83" i="33"/>
  <c r="S84" i="33"/>
  <c r="T84" i="33"/>
  <c r="S85" i="33"/>
  <c r="T85" i="33"/>
  <c r="S86" i="33"/>
  <c r="T86" i="33"/>
  <c r="S87" i="33"/>
  <c r="T87" i="33"/>
  <c r="S88" i="33"/>
  <c r="T88" i="33"/>
  <c r="S89" i="33"/>
  <c r="T89" i="33"/>
  <c r="S90" i="33"/>
  <c r="T90" i="33"/>
  <c r="S91" i="33"/>
  <c r="T91" i="33"/>
  <c r="S92" i="33"/>
  <c r="T92" i="33"/>
  <c r="S93" i="33"/>
  <c r="T93" i="33"/>
  <c r="B175" i="33"/>
  <c r="B176" i="33" s="1"/>
  <c r="B177" i="33" s="1"/>
  <c r="B178" i="33" s="1"/>
  <c r="B179" i="33" s="1"/>
  <c r="B180" i="33" s="1"/>
  <c r="B181" i="33" s="1"/>
  <c r="B182" i="33" s="1"/>
  <c r="B183" i="33" s="1"/>
  <c r="C4" i="17"/>
  <c r="E4" i="17" s="1"/>
  <c r="C9" i="61" s="1"/>
  <c r="C5" i="17"/>
  <c r="C14" i="17"/>
  <c r="C15" i="17"/>
  <c r="C18" i="17"/>
  <c r="E22" i="17"/>
  <c r="C30" i="17"/>
  <c r="C31" i="17"/>
  <c r="C32" i="17"/>
  <c r="C33" i="17"/>
  <c r="H383" i="21" s="1"/>
  <c r="C37" i="17"/>
  <c r="C41" i="17"/>
  <c r="C44" i="17"/>
  <c r="C47" i="17"/>
  <c r="C87" i="17"/>
  <c r="C88" i="17" s="1"/>
  <c r="C93" i="17"/>
  <c r="C96" i="17"/>
  <c r="C98" i="17"/>
  <c r="C109" i="17"/>
  <c r="E30" i="20"/>
  <c r="I121" i="17"/>
  <c r="I122" i="17"/>
  <c r="I129" i="17"/>
  <c r="C145" i="17"/>
  <c r="I150" i="17"/>
  <c r="I151" i="17"/>
  <c r="B165" i="17"/>
  <c r="C1" i="61"/>
  <c r="A8" i="20"/>
  <c r="J12" i="20"/>
  <c r="J28" i="20"/>
  <c r="AE28" i="20"/>
  <c r="J29" i="20"/>
  <c r="AE29" i="20"/>
  <c r="J30" i="20"/>
  <c r="AE30" i="20"/>
  <c r="C9" i="19"/>
  <c r="C11" i="19"/>
  <c r="K11" i="19"/>
  <c r="C12" i="19"/>
  <c r="K12" i="19"/>
  <c r="C13" i="19"/>
  <c r="K13" i="19"/>
  <c r="C14" i="19"/>
  <c r="C15" i="19"/>
  <c r="C16" i="19"/>
  <c r="C18" i="19"/>
  <c r="G26" i="19"/>
  <c r="G27" i="19"/>
  <c r="G33" i="19"/>
  <c r="G35" i="19"/>
  <c r="G37" i="19"/>
  <c r="G43" i="19"/>
  <c r="G46" i="19"/>
  <c r="E148" i="19"/>
  <c r="C154" i="19"/>
  <c r="I9" i="11"/>
  <c r="AD20" i="11"/>
  <c r="AE20" i="11"/>
  <c r="AF20" i="11"/>
  <c r="AK20" i="11"/>
  <c r="AL20" i="11"/>
  <c r="AN20" i="11"/>
  <c r="AO20" i="11"/>
  <c r="AD21" i="11"/>
  <c r="AE21" i="11"/>
  <c r="AF21" i="11"/>
  <c r="AJ21" i="11"/>
  <c r="AK21" i="11"/>
  <c r="AL21" i="11"/>
  <c r="AN21" i="11"/>
  <c r="AO21" i="11"/>
  <c r="AD22" i="11"/>
  <c r="AE22" i="11"/>
  <c r="AF22" i="11"/>
  <c r="AJ22" i="11"/>
  <c r="AK22" i="11"/>
  <c r="AL22" i="11"/>
  <c r="AN22" i="11"/>
  <c r="AO22" i="11"/>
  <c r="AD23" i="11"/>
  <c r="AE23" i="11"/>
  <c r="AF23" i="11"/>
  <c r="AJ23" i="11"/>
  <c r="AK23" i="11"/>
  <c r="AL23" i="11"/>
  <c r="AN23" i="11"/>
  <c r="AO23" i="11"/>
  <c r="AD24" i="11"/>
  <c r="AE24" i="11"/>
  <c r="AF24" i="11"/>
  <c r="AJ24" i="11"/>
  <c r="AK24" i="11"/>
  <c r="AL24" i="11"/>
  <c r="AN24" i="11"/>
  <c r="AO24" i="11"/>
  <c r="AD26" i="11"/>
  <c r="AE26" i="11"/>
  <c r="AF26" i="11"/>
  <c r="AJ26" i="11"/>
  <c r="AK26" i="11"/>
  <c r="AL26" i="11"/>
  <c r="AN26" i="11"/>
  <c r="AO26" i="11"/>
  <c r="D3" i="2"/>
  <c r="G3" i="2" s="1"/>
  <c r="D7" i="2"/>
  <c r="G7" i="2" s="1"/>
  <c r="I7" i="2" s="1"/>
  <c r="D8" i="2"/>
  <c r="G8" i="2" s="1"/>
  <c r="I8" i="2" s="1"/>
  <c r="D9" i="2"/>
  <c r="G9" i="2" s="1"/>
  <c r="I9" i="2" s="1"/>
  <c r="D10" i="2"/>
  <c r="G10" i="2" s="1"/>
  <c r="I10" i="2" s="1"/>
  <c r="D11" i="2"/>
  <c r="G11" i="2" s="1"/>
  <c r="I11" i="2" s="1"/>
  <c r="D13" i="2"/>
  <c r="G13" i="2" s="1"/>
  <c r="I13" i="2" s="1"/>
  <c r="D14" i="2"/>
  <c r="G14" i="2" s="1"/>
  <c r="I14" i="2" s="1"/>
  <c r="D15" i="2"/>
  <c r="G15" i="2" s="1"/>
  <c r="I15" i="2" s="1"/>
  <c r="D16" i="2"/>
  <c r="G16" i="2" s="1"/>
  <c r="I16" i="2" s="1"/>
  <c r="D17" i="2"/>
  <c r="G17" i="2" s="1"/>
  <c r="I17" i="2" s="1"/>
  <c r="A75" i="2"/>
  <c r="A76" i="2"/>
  <c r="A77" i="2"/>
  <c r="A78" i="2"/>
  <c r="A80" i="2"/>
  <c r="B106" i="2"/>
  <c r="C106" i="2" s="1"/>
  <c r="B107" i="2"/>
  <c r="C107" i="2" s="1"/>
  <c r="D107" i="2" s="1"/>
  <c r="S17" i="5"/>
  <c r="O23" i="5"/>
  <c r="S14" i="5" s="1"/>
  <c r="I11" i="8"/>
  <c r="E12" i="8"/>
  <c r="G18" i="8" s="1"/>
  <c r="N104" i="33"/>
  <c r="N115" i="33"/>
  <c r="N123" i="33"/>
  <c r="N99" i="33"/>
  <c r="N108" i="33"/>
  <c r="N126" i="33"/>
  <c r="N122" i="33"/>
  <c r="N118" i="33"/>
  <c r="N114" i="33"/>
  <c r="N103" i="33"/>
  <c r="N124" i="33"/>
  <c r="N120" i="33"/>
  <c r="N116" i="33"/>
  <c r="N106" i="33"/>
  <c r="N101" i="33"/>
  <c r="N100" i="33"/>
  <c r="N125" i="33"/>
  <c r="N121" i="33"/>
  <c r="N117" i="33"/>
  <c r="N107" i="33"/>
  <c r="N102" i="33"/>
  <c r="N105" i="33"/>
  <c r="T46" i="33"/>
  <c r="E9" i="33"/>
  <c r="Q36" i="33" s="1"/>
  <c r="E12" i="20"/>
  <c r="E28" i="20"/>
  <c r="E29" i="20"/>
  <c r="T40" i="33"/>
  <c r="T29" i="33"/>
  <c r="T34" i="33"/>
  <c r="T49" i="33"/>
  <c r="T42" i="33"/>
  <c r="T51" i="33"/>
  <c r="T35" i="33"/>
  <c r="T41" i="33"/>
  <c r="T44" i="33"/>
  <c r="T39" i="33"/>
  <c r="T31" i="33"/>
  <c r="T36" i="33"/>
  <c r="T33" i="33"/>
  <c r="T50" i="33"/>
  <c r="T28" i="33"/>
  <c r="T48" i="33"/>
  <c r="T30" i="33"/>
  <c r="T38" i="33"/>
  <c r="T43" i="33"/>
  <c r="T32" i="33"/>
  <c r="T45" i="33"/>
  <c r="T47" i="33"/>
  <c r="T37" i="33"/>
  <c r="O237" i="21"/>
  <c r="D32" i="20"/>
  <c r="C49" i="62"/>
  <c r="C45" i="26"/>
  <c r="I98" i="17"/>
  <c r="M187" i="21" s="1"/>
  <c r="Q187" i="21" s="1"/>
  <c r="D45" i="26" s="1"/>
  <c r="F44" i="62"/>
  <c r="F100" i="35"/>
  <c r="B122" i="74" s="1"/>
  <c r="J122" i="74" s="1"/>
  <c r="Q9" i="21"/>
  <c r="J23" i="74"/>
  <c r="A79" i="34"/>
  <c r="B80" i="74" s="1"/>
  <c r="J80" i="74" s="1"/>
  <c r="I97" i="17"/>
  <c r="N73" i="19" l="1"/>
  <c r="B25" i="74"/>
  <c r="B20" i="74"/>
  <c r="J20" i="74" s="1"/>
  <c r="P238" i="33"/>
  <c r="P232" i="33"/>
  <c r="P237" i="33"/>
  <c r="P231" i="33"/>
  <c r="P229" i="33"/>
  <c r="P234" i="33"/>
  <c r="P228" i="33"/>
  <c r="P236" i="33"/>
  <c r="P230" i="33"/>
  <c r="P235" i="33"/>
  <c r="P233" i="33"/>
  <c r="P69" i="33"/>
  <c r="P211" i="33"/>
  <c r="P205" i="33"/>
  <c r="P201" i="33"/>
  <c r="P210" i="33"/>
  <c r="P204" i="33"/>
  <c r="P209" i="33"/>
  <c r="P203" i="33"/>
  <c r="P207" i="33"/>
  <c r="P202" i="33"/>
  <c r="P208" i="33"/>
  <c r="P206" i="33"/>
  <c r="I72" i="19"/>
  <c r="N72" i="19"/>
  <c r="L72" i="19"/>
  <c r="C29" i="61"/>
  <c r="K72" i="19"/>
  <c r="G72" i="19"/>
  <c r="M72" i="19"/>
  <c r="J72" i="19"/>
  <c r="C95" i="17"/>
  <c r="O37" i="34"/>
  <c r="A82" i="34" s="1"/>
  <c r="B83" i="74" s="1"/>
  <c r="J83" i="74" s="1"/>
  <c r="P33" i="33"/>
  <c r="G101" i="35"/>
  <c r="C123" i="74" s="1"/>
  <c r="E123" i="74" s="1"/>
  <c r="O135" i="33"/>
  <c r="P76" i="33"/>
  <c r="J94" i="35"/>
  <c r="F94" i="35" s="1"/>
  <c r="B116" i="74" s="1"/>
  <c r="J116" i="74" s="1"/>
  <c r="A167" i="38"/>
  <c r="G73" i="19"/>
  <c r="C30" i="61"/>
  <c r="I64" i="19"/>
  <c r="E52" i="34"/>
  <c r="H62" i="19"/>
  <c r="I73" i="19"/>
  <c r="J73" i="19"/>
  <c r="H73" i="19"/>
  <c r="M73" i="19"/>
  <c r="L73" i="19"/>
  <c r="I95" i="17"/>
  <c r="G83" i="35" s="1"/>
  <c r="C105" i="74" s="1"/>
  <c r="E105" i="74" s="1"/>
  <c r="K73" i="19"/>
  <c r="A148" i="38"/>
  <c r="A215" i="38"/>
  <c r="A121" i="38"/>
  <c r="A87" i="38"/>
  <c r="A212" i="38"/>
  <c r="E6" i="33"/>
  <c r="N38" i="33" s="1"/>
  <c r="A108" i="38"/>
  <c r="O137" i="33"/>
  <c r="P85" i="33"/>
  <c r="A136" i="38"/>
  <c r="A207" i="38"/>
  <c r="A21" i="38"/>
  <c r="A191" i="38"/>
  <c r="A127" i="38"/>
  <c r="A20" i="38"/>
  <c r="A65" i="38"/>
  <c r="P153" i="33"/>
  <c r="A168" i="38"/>
  <c r="P42" i="33"/>
  <c r="A118" i="38"/>
  <c r="A76" i="38"/>
  <c r="A24" i="38"/>
  <c r="P167" i="33"/>
  <c r="X167" i="33" s="1"/>
  <c r="P31" i="33"/>
  <c r="P59" i="33"/>
  <c r="P92" i="33"/>
  <c r="P148" i="33"/>
  <c r="P77" i="33"/>
  <c r="P84" i="33"/>
  <c r="P150" i="33"/>
  <c r="Y150" i="33" s="1"/>
  <c r="W150" i="33" s="1"/>
  <c r="P120" i="33"/>
  <c r="Y120" i="33" s="1"/>
  <c r="W120" i="33" s="1"/>
  <c r="P37" i="33"/>
  <c r="O108" i="33"/>
  <c r="P219" i="33"/>
  <c r="P44" i="33"/>
  <c r="P82" i="33"/>
  <c r="P72" i="33"/>
  <c r="P114" i="33"/>
  <c r="Y114" i="33" s="1"/>
  <c r="W114" i="33" s="1"/>
  <c r="AD113" i="33" s="1"/>
  <c r="C20" i="26" s="1"/>
  <c r="D20" i="26" s="1"/>
  <c r="P221" i="33"/>
  <c r="P35" i="33"/>
  <c r="P81" i="33"/>
  <c r="P121" i="33"/>
  <c r="Y121" i="33" s="1"/>
  <c r="W121" i="33" s="1"/>
  <c r="P223" i="33"/>
  <c r="P62" i="33"/>
  <c r="P123" i="33"/>
  <c r="Y123" i="33" s="1"/>
  <c r="W123" i="33" s="1"/>
  <c r="P89" i="33"/>
  <c r="P60" i="33"/>
  <c r="P28" i="33"/>
  <c r="P217" i="33"/>
  <c r="O141" i="33"/>
  <c r="P87" i="33"/>
  <c r="P158" i="33"/>
  <c r="O102" i="33"/>
  <c r="P66" i="33"/>
  <c r="P57" i="33"/>
  <c r="P41" i="33"/>
  <c r="P29" i="33"/>
  <c r="P34" i="33"/>
  <c r="P61" i="33"/>
  <c r="O106" i="33"/>
  <c r="P156" i="33"/>
  <c r="O99" i="33"/>
  <c r="P75" i="33"/>
  <c r="P32" i="33"/>
  <c r="P115" i="33"/>
  <c r="Y115" i="33" s="1"/>
  <c r="W115" i="33" s="1"/>
  <c r="P88" i="33"/>
  <c r="O101" i="33"/>
  <c r="P168" i="33"/>
  <c r="Y168" i="33" s="1"/>
  <c r="P189" i="33"/>
  <c r="P40" i="33"/>
  <c r="P195" i="33"/>
  <c r="P122" i="33"/>
  <c r="Y122" i="33" s="1"/>
  <c r="W122" i="33" s="1"/>
  <c r="P58" i="33"/>
  <c r="O103" i="33"/>
  <c r="P124" i="33"/>
  <c r="Y124" i="33" s="1"/>
  <c r="W124" i="33" s="1"/>
  <c r="P43" i="33"/>
  <c r="P65" i="33"/>
  <c r="P74" i="33"/>
  <c r="P152" i="33"/>
  <c r="P220" i="33"/>
  <c r="P73" i="33"/>
  <c r="P68" i="33"/>
  <c r="J85" i="35"/>
  <c r="F85" i="35" s="1"/>
  <c r="B18" i="74" s="1"/>
  <c r="J18" i="74" s="1"/>
  <c r="J101" i="35"/>
  <c r="J93" i="35"/>
  <c r="F93" i="35" s="1"/>
  <c r="B115" i="74" s="1"/>
  <c r="J115" i="74" s="1"/>
  <c r="G89" i="35"/>
  <c r="C111" i="74" s="1"/>
  <c r="E111" i="74" s="1"/>
  <c r="J86" i="35"/>
  <c r="F86" i="35" s="1"/>
  <c r="B108" i="74" s="1"/>
  <c r="J108" i="74" s="1"/>
  <c r="B94" i="35"/>
  <c r="B97" i="35" s="1"/>
  <c r="G90" i="35"/>
  <c r="C112" i="74" s="1"/>
  <c r="E112" i="74" s="1"/>
  <c r="I83" i="35"/>
  <c r="D105" i="74" s="1"/>
  <c r="C43" i="62"/>
  <c r="J104" i="35"/>
  <c r="F104" i="35" s="1"/>
  <c r="B126" i="74" s="1"/>
  <c r="J126" i="74" s="1"/>
  <c r="H101" i="35"/>
  <c r="F123" i="74" s="1"/>
  <c r="J91" i="35"/>
  <c r="F91" i="35" s="1"/>
  <c r="B113" i="74" s="1"/>
  <c r="J113" i="74" s="1"/>
  <c r="J102" i="35"/>
  <c r="J95" i="35"/>
  <c r="F95" i="35" s="1"/>
  <c r="B117" i="74" s="1"/>
  <c r="J117" i="74" s="1"/>
  <c r="J92" i="35"/>
  <c r="F92" i="35" s="1"/>
  <c r="B114" i="74" s="1"/>
  <c r="J114" i="74" s="1"/>
  <c r="J105" i="35"/>
  <c r="F105" i="35" s="1"/>
  <c r="B127" i="74" s="1"/>
  <c r="J127" i="74" s="1"/>
  <c r="D40" i="35"/>
  <c r="J83" i="35"/>
  <c r="F83" i="35" s="1"/>
  <c r="B17" i="74" s="1"/>
  <c r="J17" i="74" s="1"/>
  <c r="J103" i="35"/>
  <c r="F103" i="35" s="1"/>
  <c r="B125" i="74" s="1"/>
  <c r="J125" i="74" s="1"/>
  <c r="D41" i="35"/>
  <c r="B87" i="35"/>
  <c r="B8" i="35"/>
  <c r="A75" i="38"/>
  <c r="A51" i="38"/>
  <c r="A135" i="38"/>
  <c r="A227" i="38"/>
  <c r="A193" i="38"/>
  <c r="A119" i="38"/>
  <c r="A175" i="38"/>
  <c r="A116" i="38"/>
  <c r="A104" i="38"/>
  <c r="A180" i="38"/>
  <c r="P50" i="33"/>
  <c r="P197" i="33"/>
  <c r="A52" i="38"/>
  <c r="A113" i="38"/>
  <c r="A35" i="38"/>
  <c r="A225" i="38"/>
  <c r="A38" i="38"/>
  <c r="A147" i="38"/>
  <c r="A102" i="38"/>
  <c r="P80" i="33"/>
  <c r="O133" i="33"/>
  <c r="P39" i="33"/>
  <c r="J90" i="35"/>
  <c r="F90" i="35" s="1"/>
  <c r="B112" i="74" s="1"/>
  <c r="J112" i="74" s="1"/>
  <c r="A70" i="38"/>
  <c r="B3" i="34"/>
  <c r="A54" i="38"/>
  <c r="A183" i="38"/>
  <c r="A44" i="38"/>
  <c r="A220" i="38"/>
  <c r="A96" i="38"/>
  <c r="A202" i="38"/>
  <c r="A126" i="38"/>
  <c r="A221" i="38"/>
  <c r="A194" i="38"/>
  <c r="A32" i="38"/>
  <c r="A86" i="38"/>
  <c r="A17" i="38"/>
  <c r="A229" i="38"/>
  <c r="A85" i="38"/>
  <c r="A69" i="38"/>
  <c r="A98" i="38"/>
  <c r="A219" i="38"/>
  <c r="A40" i="38"/>
  <c r="A128" i="38"/>
  <c r="A122" i="38"/>
  <c r="A204" i="38"/>
  <c r="A210" i="38"/>
  <c r="A189" i="38"/>
  <c r="A45" i="38"/>
  <c r="A140" i="38"/>
  <c r="A222" i="38"/>
  <c r="A90" i="38"/>
  <c r="A58" i="38"/>
  <c r="A133" i="38"/>
  <c r="A217" i="38"/>
  <c r="A49" i="38"/>
  <c r="A201" i="38"/>
  <c r="A199" i="38"/>
  <c r="A72" i="38"/>
  <c r="A129" i="38"/>
  <c r="A112" i="38"/>
  <c r="A208" i="38"/>
  <c r="A125" i="38"/>
  <c r="A159" i="38"/>
  <c r="A190" i="38"/>
  <c r="A158" i="38"/>
  <c r="A39" i="38"/>
  <c r="A29" i="38"/>
  <c r="A154" i="38"/>
  <c r="A153" i="38"/>
  <c r="A34" i="38"/>
  <c r="A18" i="38"/>
  <c r="A182" i="38"/>
  <c r="A105" i="38"/>
  <c r="A78" i="38"/>
  <c r="A68" i="38"/>
  <c r="A117" i="38"/>
  <c r="A43" i="38"/>
  <c r="A103" i="38"/>
  <c r="A181" i="38"/>
  <c r="A89" i="38"/>
  <c r="A174" i="38"/>
  <c r="A214" i="38"/>
  <c r="A139" i="38"/>
  <c r="A33" i="38"/>
  <c r="A192" i="38"/>
  <c r="A205" i="38"/>
  <c r="A63" i="38"/>
  <c r="A106" i="38"/>
  <c r="A228" i="38"/>
  <c r="A84" i="38"/>
  <c r="A195" i="38"/>
  <c r="A26" i="38"/>
  <c r="A216" i="38"/>
  <c r="A134" i="38"/>
  <c r="A171" i="38"/>
  <c r="A211" i="38"/>
  <c r="A31" i="38"/>
  <c r="A196" i="38"/>
  <c r="A59" i="38"/>
  <c r="A150" i="38"/>
  <c r="A198" i="38"/>
  <c r="A50" i="38"/>
  <c r="A197" i="38"/>
  <c r="A169" i="38"/>
  <c r="A94" i="38"/>
  <c r="A73" i="38"/>
  <c r="A223" i="38"/>
  <c r="A42" i="38"/>
  <c r="A143" i="38"/>
  <c r="A81" i="38"/>
  <c r="P48" i="33"/>
  <c r="P119" i="33"/>
  <c r="Y119" i="33" s="1"/>
  <c r="W119" i="33" s="1"/>
  <c r="P118" i="33"/>
  <c r="Y118" i="33" s="1"/>
  <c r="W118" i="33" s="1"/>
  <c r="A226" i="38"/>
  <c r="A28" i="38"/>
  <c r="A156" i="38"/>
  <c r="A124" i="38"/>
  <c r="A185" i="38"/>
  <c r="A149" i="38"/>
  <c r="P36" i="33"/>
  <c r="P83" i="33"/>
  <c r="A19" i="38"/>
  <c r="A230" i="38"/>
  <c r="A209" i="38"/>
  <c r="A100" i="38"/>
  <c r="A114" i="38"/>
  <c r="A99" i="38"/>
  <c r="A141" i="38"/>
  <c r="P218" i="33"/>
  <c r="P149" i="33"/>
  <c r="P45" i="33"/>
  <c r="A178" i="38"/>
  <c r="A107" i="38"/>
  <c r="A166" i="38"/>
  <c r="A71" i="38"/>
  <c r="A155" i="38"/>
  <c r="A137" i="38"/>
  <c r="A164" i="38"/>
  <c r="A47" i="38"/>
  <c r="P117" i="33"/>
  <c r="Y117" i="33" s="1"/>
  <c r="W117" i="33" s="1"/>
  <c r="O139" i="33"/>
  <c r="P225" i="33"/>
  <c r="F46" i="62"/>
  <c r="C53" i="26"/>
  <c r="C44" i="26"/>
  <c r="N67" i="19"/>
  <c r="H12" i="62"/>
  <c r="J12" i="62" s="1"/>
  <c r="B8" i="75"/>
  <c r="A79" i="2"/>
  <c r="C44" i="62"/>
  <c r="I49" i="17"/>
  <c r="B37" i="11"/>
  <c r="B38" i="11"/>
  <c r="R47" i="33"/>
  <c r="R36" i="33"/>
  <c r="J33" i="19"/>
  <c r="M32" i="17"/>
  <c r="G39" i="19" s="1"/>
  <c r="R37" i="33"/>
  <c r="N157" i="33"/>
  <c r="C36" i="17"/>
  <c r="E36" i="17" s="1"/>
  <c r="C14" i="61" s="1"/>
  <c r="F12" i="26"/>
  <c r="M22" i="8"/>
  <c r="J89" i="35"/>
  <c r="J84" i="35"/>
  <c r="F84" i="35" s="1"/>
  <c r="B106" i="74" s="1"/>
  <c r="J106" i="74" s="1"/>
  <c r="C41" i="26"/>
  <c r="I96" i="17"/>
  <c r="Q48" i="33"/>
  <c r="Q49" i="33"/>
  <c r="N148" i="33"/>
  <c r="N141" i="33"/>
  <c r="N132" i="33"/>
  <c r="N136" i="33"/>
  <c r="N134" i="33"/>
  <c r="L53" i="17"/>
  <c r="K32" i="73"/>
  <c r="G64" i="19" s="1"/>
  <c r="D20" i="27"/>
  <c r="B7" i="35"/>
  <c r="C42" i="26"/>
  <c r="P11" i="27"/>
  <c r="Q43" i="33"/>
  <c r="Q29" i="33"/>
  <c r="Q28" i="33"/>
  <c r="B5" i="34"/>
  <c r="N153" i="33"/>
  <c r="N147" i="33"/>
  <c r="N156" i="33"/>
  <c r="N138" i="33"/>
  <c r="N154" i="33"/>
  <c r="N155" i="33"/>
  <c r="N140" i="33"/>
  <c r="N152" i="33"/>
  <c r="N133" i="33"/>
  <c r="N137" i="33"/>
  <c r="N135" i="33"/>
  <c r="N151" i="33"/>
  <c r="N158" i="33"/>
  <c r="N149" i="33"/>
  <c r="N139" i="33"/>
  <c r="N159" i="33"/>
  <c r="M184" i="21"/>
  <c r="Q184" i="21" s="1"/>
  <c r="D44" i="26" s="1"/>
  <c r="G84" i="35"/>
  <c r="C106" i="74" s="1"/>
  <c r="E106" i="74" s="1"/>
  <c r="P79" i="33"/>
  <c r="I44" i="62"/>
  <c r="C3" i="17"/>
  <c r="E3" i="17" s="1"/>
  <c r="C8" i="61" s="1"/>
  <c r="C2" i="61"/>
  <c r="C10" i="62"/>
  <c r="C11" i="62" s="1"/>
  <c r="O193" i="21"/>
  <c r="Q193" i="21" s="1"/>
  <c r="D49" i="26" s="1"/>
  <c r="B2" i="35"/>
  <c r="G15" i="8"/>
  <c r="O52" i="21"/>
  <c r="Q52" i="21" s="1"/>
  <c r="D10" i="26" s="1"/>
  <c r="G25" i="19"/>
  <c r="B8" i="62"/>
  <c r="C42" i="2"/>
  <c r="D42" i="2" s="1"/>
  <c r="A42" i="2" s="1"/>
  <c r="J25" i="19"/>
  <c r="M12" i="8"/>
  <c r="C31" i="2"/>
  <c r="D31" i="2" s="1"/>
  <c r="A31" i="2" s="1"/>
  <c r="I25" i="19"/>
  <c r="K11" i="27"/>
  <c r="K16" i="27" s="1"/>
  <c r="G69" i="19"/>
  <c r="K69" i="19"/>
  <c r="B12" i="34"/>
  <c r="H69" i="19"/>
  <c r="L65" i="19"/>
  <c r="C26" i="61"/>
  <c r="K65" i="19"/>
  <c r="I65" i="19"/>
  <c r="N65" i="19"/>
  <c r="J69" i="19"/>
  <c r="H65" i="19"/>
  <c r="L69" i="19"/>
  <c r="M65" i="19"/>
  <c r="I69" i="19"/>
  <c r="N69" i="19"/>
  <c r="J65" i="19"/>
  <c r="M69" i="19"/>
  <c r="J64" i="19"/>
  <c r="K62" i="19"/>
  <c r="G67" i="19"/>
  <c r="J67" i="19"/>
  <c r="M62" i="19"/>
  <c r="L64" i="19"/>
  <c r="H67" i="19"/>
  <c r="B8" i="34"/>
  <c r="I62" i="19"/>
  <c r="H64" i="19"/>
  <c r="C24" i="61"/>
  <c r="F43" i="62"/>
  <c r="N64" i="19"/>
  <c r="L62" i="19"/>
  <c r="M67" i="19"/>
  <c r="J17" i="34"/>
  <c r="N62" i="19"/>
  <c r="I67" i="19"/>
  <c r="J62" i="19"/>
  <c r="K67" i="19"/>
  <c r="L67" i="19"/>
  <c r="M64" i="19"/>
  <c r="K64" i="19"/>
  <c r="O26" i="34"/>
  <c r="B80" i="34" s="1"/>
  <c r="C81" i="74" s="1"/>
  <c r="E81" i="74" s="1"/>
  <c r="O29" i="34"/>
  <c r="B24" i="74"/>
  <c r="J24" i="74" s="1"/>
  <c r="J29" i="34"/>
  <c r="J27" i="34"/>
  <c r="J15" i="34"/>
  <c r="O17" i="34"/>
  <c r="B79" i="34" s="1"/>
  <c r="C80" i="74" s="1"/>
  <c r="E80" i="74" s="1"/>
  <c r="O14" i="34"/>
  <c r="B78" i="34" s="1"/>
  <c r="C79" i="74" s="1"/>
  <c r="E79" i="74" s="1"/>
  <c r="C7" i="1"/>
  <c r="D24" i="1" s="1"/>
  <c r="N34" i="1" s="1"/>
  <c r="AJ20" i="11"/>
  <c r="C40" i="17"/>
  <c r="E40" i="17" s="1"/>
  <c r="C16" i="61" s="1"/>
  <c r="I19" i="17"/>
  <c r="Q44" i="33"/>
  <c r="E25" i="17"/>
  <c r="E4" i="34" s="1"/>
  <c r="G32" i="19"/>
  <c r="Q45" i="33"/>
  <c r="O96" i="21"/>
  <c r="M26" i="8"/>
  <c r="R46" i="33"/>
  <c r="R33" i="33"/>
  <c r="R39" i="33"/>
  <c r="R35" i="33"/>
  <c r="R38" i="33"/>
  <c r="C5" i="1"/>
  <c r="D19" i="1" s="1"/>
  <c r="J21" i="1" s="1"/>
  <c r="R45" i="33"/>
  <c r="J28" i="34"/>
  <c r="E17" i="35"/>
  <c r="Q38" i="33"/>
  <c r="E6" i="17"/>
  <c r="R42" i="33"/>
  <c r="R40" i="33"/>
  <c r="Q237" i="21"/>
  <c r="D50" i="26" s="1"/>
  <c r="Q40" i="33"/>
  <c r="Q46" i="33"/>
  <c r="Q35" i="33"/>
  <c r="Q34" i="33"/>
  <c r="Q31" i="33"/>
  <c r="Q47" i="33"/>
  <c r="Q50" i="33"/>
  <c r="Q51" i="33"/>
  <c r="I156" i="17"/>
  <c r="E15" i="33" s="1"/>
  <c r="N60" i="33" s="1"/>
  <c r="Q30" i="33"/>
  <c r="E27" i="17"/>
  <c r="E5" i="34" s="1"/>
  <c r="L25" i="19"/>
  <c r="O190" i="21"/>
  <c r="Q190" i="21" s="1"/>
  <c r="D48" i="26" s="1"/>
  <c r="B2" i="34"/>
  <c r="I32" i="17"/>
  <c r="A3" i="74"/>
  <c r="O9" i="21"/>
  <c r="C40" i="2"/>
  <c r="D40" i="2" s="1"/>
  <c r="A40" i="2" s="1"/>
  <c r="C10" i="26"/>
  <c r="M25" i="19"/>
  <c r="N25" i="19"/>
  <c r="C32" i="2"/>
  <c r="D32" i="2" s="1"/>
  <c r="A32" i="2" s="1"/>
  <c r="C33" i="2"/>
  <c r="D33" i="2" s="1"/>
  <c r="A33" i="2" s="1"/>
  <c r="O104" i="21"/>
  <c r="H25" i="19"/>
  <c r="E3" i="33"/>
  <c r="P106" i="33" s="1"/>
  <c r="R44" i="33"/>
  <c r="Q42" i="33"/>
  <c r="C41" i="2"/>
  <c r="D41" i="2" s="1"/>
  <c r="A41" i="2" s="1"/>
  <c r="R41" i="33"/>
  <c r="K25" i="19"/>
  <c r="P47" i="33"/>
  <c r="P224" i="33"/>
  <c r="P71" i="33"/>
  <c r="P67" i="33"/>
  <c r="P155" i="33"/>
  <c r="P194" i="33"/>
  <c r="P38" i="33"/>
  <c r="P222" i="33"/>
  <c r="O138" i="33"/>
  <c r="O107" i="33"/>
  <c r="P126" i="33"/>
  <c r="Y126" i="33" s="1"/>
  <c r="W126" i="33" s="1"/>
  <c r="O134" i="33"/>
  <c r="P64" i="33"/>
  <c r="P154" i="33"/>
  <c r="P49" i="33"/>
  <c r="C46" i="62"/>
  <c r="O100" i="33"/>
  <c r="P86" i="33"/>
  <c r="P30" i="33"/>
  <c r="M31" i="17"/>
  <c r="S20" i="5"/>
  <c r="P216" i="33"/>
  <c r="B11" i="35"/>
  <c r="P90" i="33"/>
  <c r="P151" i="33"/>
  <c r="P199" i="33"/>
  <c r="B383" i="21"/>
  <c r="D383" i="21" s="1"/>
  <c r="P193" i="33"/>
  <c r="P190" i="33"/>
  <c r="P125" i="33"/>
  <c r="Y125" i="33" s="1"/>
  <c r="W125" i="33" s="1"/>
  <c r="P70" i="33"/>
  <c r="P93" i="33"/>
  <c r="P147" i="33"/>
  <c r="P165" i="33"/>
  <c r="Y165" i="33" s="1"/>
  <c r="O105" i="33"/>
  <c r="O136" i="33"/>
  <c r="P46" i="33"/>
  <c r="P196" i="33"/>
  <c r="P78" i="33"/>
  <c r="P116" i="33"/>
  <c r="Y116" i="33" s="1"/>
  <c r="W116" i="33" s="1"/>
  <c r="P164" i="33"/>
  <c r="X164" i="33" s="1"/>
  <c r="O132" i="33"/>
  <c r="P159" i="33"/>
  <c r="P51" i="33"/>
  <c r="O140" i="33"/>
  <c r="P198" i="33"/>
  <c r="P166" i="33"/>
  <c r="P226" i="33"/>
  <c r="P192" i="33"/>
  <c r="O104" i="33"/>
  <c r="P191" i="33"/>
  <c r="P157" i="33"/>
  <c r="P91" i="33"/>
  <c r="P63" i="33"/>
  <c r="AM27" i="11"/>
  <c r="AP27" i="11" s="1"/>
  <c r="AR27" i="11" s="1"/>
  <c r="AM26" i="11"/>
  <c r="AP26" i="11" s="1"/>
  <c r="AM24" i="11"/>
  <c r="AP24" i="11" s="1"/>
  <c r="AM20" i="11"/>
  <c r="I18" i="2"/>
  <c r="C10" i="1" s="1"/>
  <c r="D28" i="1" s="1"/>
  <c r="Q41" i="33"/>
  <c r="Q33" i="33"/>
  <c r="Q37" i="33"/>
  <c r="Q16" i="70"/>
  <c r="N36" i="33"/>
  <c r="Q32" i="33"/>
  <c r="Q39" i="33"/>
  <c r="I20" i="17"/>
  <c r="F11" i="26"/>
  <c r="I21" i="17"/>
  <c r="C6" i="1"/>
  <c r="D18" i="1" s="1"/>
  <c r="J30" i="1" s="1"/>
  <c r="H5" i="1" s="1"/>
  <c r="H11" i="62"/>
  <c r="J11" i="62" s="1"/>
  <c r="C108" i="2"/>
  <c r="H9" i="70" s="1"/>
  <c r="D106" i="2"/>
  <c r="D108" i="2" s="1"/>
  <c r="C53" i="17" s="1"/>
  <c r="L58" i="17" s="1"/>
  <c r="A64" i="38"/>
  <c r="A60" i="38"/>
  <c r="A53" i="38"/>
  <c r="A91" i="38"/>
  <c r="A37" i="38"/>
  <c r="A146" i="38"/>
  <c r="A162" i="38"/>
  <c r="A120" i="38"/>
  <c r="A48" i="38"/>
  <c r="A200" i="38"/>
  <c r="A57" i="38"/>
  <c r="A88" i="38"/>
  <c r="A77" i="38"/>
  <c r="A186" i="38"/>
  <c r="AM28" i="11"/>
  <c r="AP28" i="11" s="1"/>
  <c r="AR28" i="11" s="1"/>
  <c r="AM23" i="11"/>
  <c r="AP23" i="11" s="1"/>
  <c r="AM21" i="11"/>
  <c r="AP21" i="11" s="1"/>
  <c r="O30" i="34"/>
  <c r="O15" i="34"/>
  <c r="A78" i="34" s="1"/>
  <c r="B79" i="74" s="1"/>
  <c r="A203" i="38"/>
  <c r="A101" i="38"/>
  <c r="A172" i="38"/>
  <c r="A66" i="38"/>
  <c r="A110" i="38"/>
  <c r="A145" i="38"/>
  <c r="A218" i="38"/>
  <c r="A56" i="38"/>
  <c r="A152" i="38"/>
  <c r="A224" i="38"/>
  <c r="A74" i="38"/>
  <c r="A80" i="38"/>
  <c r="A184" i="38"/>
  <c r="A163" i="38"/>
  <c r="A213" i="38"/>
  <c r="A79" i="38"/>
  <c r="A30" i="38"/>
  <c r="A92" i="38"/>
  <c r="A151" i="38"/>
  <c r="A83" i="38"/>
  <c r="A97" i="38"/>
  <c r="J25" i="74"/>
  <c r="AM22" i="11"/>
  <c r="AP22" i="11" s="1"/>
  <c r="A188" i="38"/>
  <c r="A160" i="38"/>
  <c r="A131" i="38"/>
  <c r="A22" i="38"/>
  <c r="A142" i="38"/>
  <c r="A61" i="38"/>
  <c r="A176" i="38"/>
  <c r="A36" i="38"/>
  <c r="A41" i="38"/>
  <c r="A132" i="38"/>
  <c r="A111" i="38"/>
  <c r="A115" i="38"/>
  <c r="A161" i="38"/>
  <c r="A231" i="38"/>
  <c r="A130" i="38"/>
  <c r="A165" i="38"/>
  <c r="A138" i="38"/>
  <c r="A93" i="38"/>
  <c r="A46" i="38"/>
  <c r="A82" i="38"/>
  <c r="AM25" i="11"/>
  <c r="AP25" i="11" s="1"/>
  <c r="J16" i="34"/>
  <c r="A144" i="38"/>
  <c r="A27" i="38"/>
  <c r="A123" i="38"/>
  <c r="A67" i="38"/>
  <c r="A170" i="38"/>
  <c r="A23" i="38"/>
  <c r="A187" i="38"/>
  <c r="A25" i="38"/>
  <c r="A2" i="38"/>
  <c r="A206" i="38"/>
  <c r="A55" i="38"/>
  <c r="A109" i="38"/>
  <c r="A95" i="38"/>
  <c r="A177" i="38"/>
  <c r="A179" i="38"/>
  <c r="A157" i="38"/>
  <c r="A173" i="38"/>
  <c r="A62" i="38"/>
  <c r="N41" i="33" l="1"/>
  <c r="AD228" i="33"/>
  <c r="C20" i="74" s="1"/>
  <c r="E20" i="74" s="1"/>
  <c r="AD201" i="33"/>
  <c r="Y149" i="33"/>
  <c r="W149" i="33" s="1"/>
  <c r="N44" i="33"/>
  <c r="A81" i="34"/>
  <c r="B82" i="74" s="1"/>
  <c r="J82" i="74" s="1"/>
  <c r="G57" i="35"/>
  <c r="E71" i="35" s="1"/>
  <c r="F110" i="35"/>
  <c r="I41" i="35"/>
  <c r="E49" i="35" s="1"/>
  <c r="C67" i="35" s="1"/>
  <c r="F93" i="74" s="1"/>
  <c r="X168" i="33"/>
  <c r="C43" i="26"/>
  <c r="Y106" i="33"/>
  <c r="W106" i="33" s="1"/>
  <c r="B92" i="35"/>
  <c r="I40" i="35"/>
  <c r="N48" i="33"/>
  <c r="B91" i="35"/>
  <c r="N33" i="33"/>
  <c r="N31" i="33"/>
  <c r="H84" i="35"/>
  <c r="N49" i="33"/>
  <c r="N50" i="33"/>
  <c r="C87" i="74"/>
  <c r="E87" i="74" s="1"/>
  <c r="C90" i="74"/>
  <c r="E90" i="74" s="1"/>
  <c r="C84" i="74"/>
  <c r="E84" i="74" s="1"/>
  <c r="C88" i="74"/>
  <c r="E88" i="74" s="1"/>
  <c r="C86" i="74"/>
  <c r="E86" i="74" s="1"/>
  <c r="C45" i="62"/>
  <c r="K41" i="35"/>
  <c r="V41" i="35" s="1"/>
  <c r="E60" i="35" s="1"/>
  <c r="B9" i="35"/>
  <c r="N30" i="33"/>
  <c r="N42" i="33"/>
  <c r="N37" i="33"/>
  <c r="N29" i="33"/>
  <c r="N43" i="33"/>
  <c r="N35" i="33"/>
  <c r="N47" i="33"/>
  <c r="N51" i="33"/>
  <c r="N28" i="33"/>
  <c r="N34" i="33"/>
  <c r="N32" i="33"/>
  <c r="N40" i="33"/>
  <c r="N46" i="33"/>
  <c r="N39" i="33"/>
  <c r="N45" i="33"/>
  <c r="B104" i="74"/>
  <c r="J104" i="74" s="1"/>
  <c r="B105" i="74"/>
  <c r="J105" i="74" s="1"/>
  <c r="Y148" i="33"/>
  <c r="W148" i="33" s="1"/>
  <c r="E62" i="35"/>
  <c r="E50" i="35"/>
  <c r="B68" i="35" s="1"/>
  <c r="C100" i="74" s="1"/>
  <c r="E100" i="74" s="1"/>
  <c r="Y158" i="33"/>
  <c r="W158" i="33" s="1"/>
  <c r="Y153" i="33"/>
  <c r="W153" i="33" s="1"/>
  <c r="G38" i="19"/>
  <c r="B11" i="75"/>
  <c r="G51" i="35"/>
  <c r="G63" i="35"/>
  <c r="E75" i="35" s="1"/>
  <c r="C130" i="74" s="1"/>
  <c r="E130" i="74" s="1"/>
  <c r="E54" i="35"/>
  <c r="E57" i="35"/>
  <c r="B71" i="35" s="1"/>
  <c r="C99" i="74" s="1"/>
  <c r="E99" i="74" s="1"/>
  <c r="E56" i="35"/>
  <c r="B107" i="74"/>
  <c r="J107" i="74" s="1"/>
  <c r="E44" i="35"/>
  <c r="Y156" i="33"/>
  <c r="W156" i="33" s="1"/>
  <c r="E47" i="35"/>
  <c r="E52" i="35"/>
  <c r="C68" i="35" s="1"/>
  <c r="F94" i="74" s="1"/>
  <c r="F84" i="74"/>
  <c r="G58" i="35"/>
  <c r="E61" i="35"/>
  <c r="B73" i="35" s="1"/>
  <c r="C104" i="74" s="1"/>
  <c r="E104" i="74" s="1"/>
  <c r="E64" i="35"/>
  <c r="E58" i="35"/>
  <c r="B19" i="74"/>
  <c r="J19" i="74" s="1"/>
  <c r="Y152" i="33"/>
  <c r="W152" i="33" s="1"/>
  <c r="C17" i="74"/>
  <c r="E53" i="35"/>
  <c r="B69" i="35" s="1"/>
  <c r="C95" i="74" s="1"/>
  <c r="E95" i="74" s="1"/>
  <c r="E59" i="35"/>
  <c r="B72" i="35" s="1"/>
  <c r="C102" i="74" s="1"/>
  <c r="E102" i="74" s="1"/>
  <c r="E55" i="35"/>
  <c r="B70" i="35" s="1"/>
  <c r="C96" i="74" s="1"/>
  <c r="E96" i="74" s="1"/>
  <c r="C22" i="62"/>
  <c r="C116" i="17"/>
  <c r="G116" i="17" s="1"/>
  <c r="F116" i="17" s="1"/>
  <c r="A33" i="35"/>
  <c r="B134" i="74" s="1"/>
  <c r="J134" i="74" s="1"/>
  <c r="G64" i="35"/>
  <c r="G50" i="35"/>
  <c r="E68" i="35" s="1"/>
  <c r="E48" i="35"/>
  <c r="M33" i="17"/>
  <c r="G34" i="19"/>
  <c r="E63" i="35"/>
  <c r="B75" i="35" s="1"/>
  <c r="C129" i="74" s="1"/>
  <c r="E129" i="74" s="1"/>
  <c r="E46" i="35"/>
  <c r="B67" i="35" s="1"/>
  <c r="C93" i="74" s="1"/>
  <c r="E93" i="74" s="1"/>
  <c r="C36" i="74"/>
  <c r="E36" i="74" s="1"/>
  <c r="Y167" i="33"/>
  <c r="Y157" i="33"/>
  <c r="W157" i="33" s="1"/>
  <c r="N63" i="33"/>
  <c r="N78" i="33"/>
  <c r="E21" i="35"/>
  <c r="A32" i="35" s="1"/>
  <c r="B133" i="74" s="1"/>
  <c r="J133" i="74" s="1"/>
  <c r="M103" i="21"/>
  <c r="Q103" i="21" s="1"/>
  <c r="C46" i="26"/>
  <c r="A34" i="35"/>
  <c r="B135" i="74" s="1"/>
  <c r="J135" i="74" s="1"/>
  <c r="A31" i="35"/>
  <c r="B132" i="74" s="1"/>
  <c r="J132" i="74" s="1"/>
  <c r="B10" i="35"/>
  <c r="X165" i="33"/>
  <c r="J32" i="19"/>
  <c r="C47" i="62"/>
  <c r="M104" i="21"/>
  <c r="Q104" i="21" s="1"/>
  <c r="N79" i="33"/>
  <c r="N89" i="33"/>
  <c r="N93" i="33"/>
  <c r="N57" i="33"/>
  <c r="N85" i="33"/>
  <c r="N80" i="33"/>
  <c r="N90" i="33"/>
  <c r="N75" i="33"/>
  <c r="N81" i="33"/>
  <c r="N65" i="33"/>
  <c r="N76" i="33"/>
  <c r="N91" i="33"/>
  <c r="N68" i="33"/>
  <c r="N73" i="33"/>
  <c r="N92" i="33"/>
  <c r="Y147" i="33"/>
  <c r="W147" i="33" s="1"/>
  <c r="AD146" i="33" s="1"/>
  <c r="I22" i="17"/>
  <c r="G28" i="19" s="1"/>
  <c r="Y154" i="33"/>
  <c r="W154" i="33" s="1"/>
  <c r="N61" i="33"/>
  <c r="N70" i="33"/>
  <c r="N84" i="33"/>
  <c r="N82" i="33"/>
  <c r="Y155" i="33"/>
  <c r="W155" i="33" s="1"/>
  <c r="Y159" i="33"/>
  <c r="W159" i="33" s="1"/>
  <c r="AP20" i="11"/>
  <c r="AR20" i="11" s="1"/>
  <c r="N58" i="33"/>
  <c r="N67" i="33"/>
  <c r="N83" i="33"/>
  <c r="N71" i="33"/>
  <c r="N72" i="33"/>
  <c r="Y151" i="33"/>
  <c r="W151" i="33" s="1"/>
  <c r="E38" i="26"/>
  <c r="C122" i="17"/>
  <c r="G122" i="17" s="1"/>
  <c r="F122" i="17" s="1"/>
  <c r="J3" i="20"/>
  <c r="M27" i="8"/>
  <c r="C117" i="17"/>
  <c r="G117" i="17" s="1"/>
  <c r="F117" i="17" s="1"/>
  <c r="AD216" i="33"/>
  <c r="C52" i="74" s="1"/>
  <c r="E52" i="74" s="1"/>
  <c r="AD189" i="33"/>
  <c r="C13" i="26"/>
  <c r="J32" i="1"/>
  <c r="L32" i="1" s="1"/>
  <c r="J33" i="1"/>
  <c r="X241" i="33"/>
  <c r="O35" i="34"/>
  <c r="I81" i="34" s="1"/>
  <c r="H82" i="74" s="1"/>
  <c r="P105" i="33"/>
  <c r="Y105" i="33" s="1"/>
  <c r="W105" i="33" s="1"/>
  <c r="AD242" i="33"/>
  <c r="B58" i="74" s="1"/>
  <c r="J57" i="74" s="1"/>
  <c r="P100" i="33"/>
  <c r="Y100" i="33" s="1"/>
  <c r="W100" i="33" s="1"/>
  <c r="P103" i="33"/>
  <c r="Y103" i="33" s="1"/>
  <c r="W103" i="33" s="1"/>
  <c r="M96" i="21"/>
  <c r="Q96" i="21" s="1"/>
  <c r="D13" i="26" s="1"/>
  <c r="K70" i="19"/>
  <c r="L70" i="19"/>
  <c r="N70" i="19"/>
  <c r="G70" i="19"/>
  <c r="M70" i="19"/>
  <c r="H70" i="19"/>
  <c r="J70" i="19"/>
  <c r="C27" i="61"/>
  <c r="I70" i="19"/>
  <c r="C12" i="61"/>
  <c r="B27" i="11"/>
  <c r="P102" i="33"/>
  <c r="Y102" i="33" s="1"/>
  <c r="W102" i="33" s="1"/>
  <c r="C383" i="21"/>
  <c r="E383" i="21" s="1"/>
  <c r="F383" i="21" s="1"/>
  <c r="G383" i="21" s="1"/>
  <c r="I383" i="21" s="1"/>
  <c r="K383" i="21" s="1"/>
  <c r="K388" i="21" s="1"/>
  <c r="C54" i="26"/>
  <c r="H3" i="20"/>
  <c r="A12" i="20"/>
  <c r="P108" i="33"/>
  <c r="Y108" i="33" s="1"/>
  <c r="W108" i="33" s="1"/>
  <c r="N77" i="33"/>
  <c r="N87" i="33"/>
  <c r="N62" i="33"/>
  <c r="N59" i="33"/>
  <c r="N69" i="33"/>
  <c r="N64" i="33"/>
  <c r="N88" i="33"/>
  <c r="N66" i="33"/>
  <c r="N86" i="33"/>
  <c r="N74" i="33"/>
  <c r="P132" i="33"/>
  <c r="Y132" i="33" s="1"/>
  <c r="W132" i="33" s="1"/>
  <c r="P134" i="33"/>
  <c r="Y134" i="33" s="1"/>
  <c r="W134" i="33" s="1"/>
  <c r="P107" i="33"/>
  <c r="Y107" i="33" s="1"/>
  <c r="W107" i="33" s="1"/>
  <c r="C31" i="35"/>
  <c r="F132" i="74" s="1"/>
  <c r="E34" i="35"/>
  <c r="C136" i="74" s="1"/>
  <c r="E136" i="74" s="1"/>
  <c r="F34" i="35"/>
  <c r="B136" i="74" s="1"/>
  <c r="J136" i="74" s="1"/>
  <c r="C14" i="62"/>
  <c r="P136" i="33"/>
  <c r="Y136" i="33" s="1"/>
  <c r="W136" i="33" s="1"/>
  <c r="P133" i="33"/>
  <c r="Y133" i="33" s="1"/>
  <c r="W133" i="33" s="1"/>
  <c r="P138" i="33"/>
  <c r="Y138" i="33" s="1"/>
  <c r="W138" i="33" s="1"/>
  <c r="P101" i="33"/>
  <c r="Y101" i="33" s="1"/>
  <c r="W101" i="33" s="1"/>
  <c r="P141" i="33"/>
  <c r="Y141" i="33" s="1"/>
  <c r="W141" i="33" s="1"/>
  <c r="C125" i="17"/>
  <c r="G125" i="17" s="1"/>
  <c r="F125" i="17" s="1"/>
  <c r="X242" i="33"/>
  <c r="P99" i="33"/>
  <c r="Y99" i="33" s="1"/>
  <c r="W99" i="33" s="1"/>
  <c r="Y164" i="33"/>
  <c r="Y166" i="33"/>
  <c r="X166" i="33"/>
  <c r="B81" i="34"/>
  <c r="C82" i="74" s="1"/>
  <c r="E82" i="74" s="1"/>
  <c r="B82" i="34"/>
  <c r="C83" i="74" s="1"/>
  <c r="E83" i="74" s="1"/>
  <c r="P139" i="33"/>
  <c r="Y139" i="33" s="1"/>
  <c r="W139" i="33" s="1"/>
  <c r="P140" i="33"/>
  <c r="Y140" i="33" s="1"/>
  <c r="W140" i="33" s="1"/>
  <c r="P104" i="33"/>
  <c r="Y104" i="33" s="1"/>
  <c r="W104" i="33" s="1"/>
  <c r="I45" i="62"/>
  <c r="P137" i="33"/>
  <c r="Y137" i="33" s="1"/>
  <c r="W137" i="33" s="1"/>
  <c r="P135" i="33"/>
  <c r="Y135" i="33" s="1"/>
  <c r="W135" i="33" s="1"/>
  <c r="H17" i="62"/>
  <c r="J5" i="20"/>
  <c r="C115" i="17"/>
  <c r="G115" i="17" s="1"/>
  <c r="F115" i="17" s="1"/>
  <c r="C112" i="17"/>
  <c r="J4" i="20"/>
  <c r="C119" i="17"/>
  <c r="G119" i="17" s="1"/>
  <c r="H5" i="20"/>
  <c r="C114" i="17"/>
  <c r="G114" i="17" s="1"/>
  <c r="F114" i="17" s="1"/>
  <c r="C127" i="17"/>
  <c r="G127" i="17" s="1"/>
  <c r="F127" i="17" s="1"/>
  <c r="A4" i="20"/>
  <c r="C120" i="17"/>
  <c r="G120" i="17" s="1"/>
  <c r="F120" i="17" s="1"/>
  <c r="C121" i="17"/>
  <c r="G121" i="17" s="1"/>
  <c r="F121" i="17" s="1"/>
  <c r="A4" i="38"/>
  <c r="H4" i="20"/>
  <c r="C124" i="17"/>
  <c r="G124" i="17" s="1"/>
  <c r="F124" i="17" s="1"/>
  <c r="C126" i="17"/>
  <c r="G126" i="17" s="1"/>
  <c r="F126" i="17" s="1"/>
  <c r="AR21" i="11"/>
  <c r="B21" i="11"/>
  <c r="B22" i="11"/>
  <c r="AR22" i="11"/>
  <c r="B25" i="11"/>
  <c r="AR25" i="11"/>
  <c r="B23" i="11"/>
  <c r="AR23" i="11"/>
  <c r="J79" i="74"/>
  <c r="B28" i="11"/>
  <c r="B26" i="11"/>
  <c r="AR26" i="11"/>
  <c r="B24" i="11"/>
  <c r="AR24" i="11"/>
  <c r="A75" i="35" l="1"/>
  <c r="B129" i="74" s="1"/>
  <c r="J129" i="74" s="1"/>
  <c r="E51" i="35"/>
  <c r="A68" i="35" s="1"/>
  <c r="B94" i="74" s="1"/>
  <c r="J94" i="74" s="1"/>
  <c r="E13" i="33"/>
  <c r="R86" i="33" s="1"/>
  <c r="F71" i="35"/>
  <c r="B101" i="74" s="1"/>
  <c r="B95" i="35"/>
  <c r="F89" i="35" s="1"/>
  <c r="F102" i="35" s="1"/>
  <c r="B124" i="74" s="1"/>
  <c r="J124" i="74" s="1"/>
  <c r="D46" i="26"/>
  <c r="A72" i="35"/>
  <c r="B102" i="74" s="1"/>
  <c r="J102" i="74" s="1"/>
  <c r="C85" i="74"/>
  <c r="E85" i="74" s="1"/>
  <c r="F68" i="35"/>
  <c r="B100" i="74" s="1"/>
  <c r="A73" i="35"/>
  <c r="B103" i="74" s="1"/>
  <c r="J103" i="74" s="1"/>
  <c r="A70" i="35"/>
  <c r="C94" i="74"/>
  <c r="E94" i="74" s="1"/>
  <c r="A67" i="35"/>
  <c r="D67" i="35" s="1"/>
  <c r="F75" i="35"/>
  <c r="B130" i="74" s="1"/>
  <c r="J130" i="74" s="1"/>
  <c r="C103" i="74"/>
  <c r="E103" i="74" s="1"/>
  <c r="C101" i="74"/>
  <c r="E101" i="74" s="1"/>
  <c r="A71" i="35"/>
  <c r="B99" i="74" s="1"/>
  <c r="J99" i="74" s="1"/>
  <c r="A69" i="35"/>
  <c r="B95" i="74" s="1"/>
  <c r="B36" i="74"/>
  <c r="J36" i="74" s="1"/>
  <c r="E11" i="74"/>
  <c r="B13" i="75"/>
  <c r="AD241" i="33"/>
  <c r="C58" i="74" s="1"/>
  <c r="E58" i="74" s="1"/>
  <c r="X169" i="33"/>
  <c r="S6" i="33" s="1"/>
  <c r="AD177" i="33" s="1"/>
  <c r="C46" i="74" s="1"/>
  <c r="E46" i="74" s="1"/>
  <c r="AD131" i="33"/>
  <c r="AI132" i="33"/>
  <c r="AJ132" i="33"/>
  <c r="C23" i="26"/>
  <c r="D23" i="26" s="1"/>
  <c r="C40" i="74"/>
  <c r="C25" i="62"/>
  <c r="E12" i="33"/>
  <c r="Q63" i="33" s="1"/>
  <c r="A57" i="20"/>
  <c r="B57" i="20" s="1"/>
  <c r="C57" i="20" s="1"/>
  <c r="A23" i="20"/>
  <c r="B23" i="20" s="1"/>
  <c r="C23" i="20" s="1"/>
  <c r="A47" i="20"/>
  <c r="B47" i="20" s="1"/>
  <c r="C47" i="20" s="1"/>
  <c r="A21" i="20"/>
  <c r="B21" i="20" s="1"/>
  <c r="C21" i="20" s="1"/>
  <c r="N12" i="33"/>
  <c r="B20" i="11"/>
  <c r="A49" i="20"/>
  <c r="B49" i="20" s="1"/>
  <c r="C49" i="20" s="1"/>
  <c r="A20" i="20"/>
  <c r="B20" i="20" s="1"/>
  <c r="C20" i="20" s="1"/>
  <c r="I12" i="33"/>
  <c r="A60" i="20"/>
  <c r="B60" i="20" s="1"/>
  <c r="C60" i="20" s="1"/>
  <c r="A39" i="20"/>
  <c r="B39" i="20" s="1"/>
  <c r="C39" i="20" s="1"/>
  <c r="I124" i="17"/>
  <c r="A5" i="38" s="1"/>
  <c r="A59" i="20"/>
  <c r="B59" i="20" s="1"/>
  <c r="C59" i="20" s="1"/>
  <c r="A51" i="20"/>
  <c r="B51" i="20" s="1"/>
  <c r="C51" i="20" s="1"/>
  <c r="A40" i="20"/>
  <c r="B40" i="20" s="1"/>
  <c r="C40" i="20" s="1"/>
  <c r="A50" i="20"/>
  <c r="B50" i="20" s="1"/>
  <c r="C50" i="20" s="1"/>
  <c r="F119" i="17"/>
  <c r="I125" i="17" s="1"/>
  <c r="A6" i="20" s="1"/>
  <c r="A46" i="20"/>
  <c r="B46" i="20" s="1"/>
  <c r="C46" i="20" s="1"/>
  <c r="A62" i="20"/>
  <c r="B62" i="20" s="1"/>
  <c r="C62" i="20" s="1"/>
  <c r="D62" i="20" s="1"/>
  <c r="A41" i="20"/>
  <c r="B41" i="20" s="1"/>
  <c r="C41" i="20" s="1"/>
  <c r="A16" i="20"/>
  <c r="B16" i="20" s="1"/>
  <c r="C16" i="20" s="1"/>
  <c r="A48" i="20"/>
  <c r="B48" i="20" s="1"/>
  <c r="C48" i="20" s="1"/>
  <c r="A42" i="20"/>
  <c r="B42" i="20" s="1"/>
  <c r="C42" i="20" s="1"/>
  <c r="A52" i="20"/>
  <c r="B52" i="20" s="1"/>
  <c r="C52" i="20" s="1"/>
  <c r="A54" i="20"/>
  <c r="B54" i="20" s="1"/>
  <c r="C54" i="20" s="1"/>
  <c r="A24" i="20"/>
  <c r="B24" i="20" s="1"/>
  <c r="C24" i="20" s="1"/>
  <c r="A61" i="20"/>
  <c r="B61" i="20" s="1"/>
  <c r="C61" i="20" s="1"/>
  <c r="A29" i="20"/>
  <c r="B29" i="20" s="1"/>
  <c r="C29" i="20" s="1"/>
  <c r="A28" i="20"/>
  <c r="B28" i="20" s="1"/>
  <c r="C28" i="20" s="1"/>
  <c r="A56" i="20"/>
  <c r="B56" i="20" s="1"/>
  <c r="C56" i="20" s="1"/>
  <c r="A33" i="20"/>
  <c r="B33" i="20" s="1"/>
  <c r="C33" i="20" s="1"/>
  <c r="A55" i="20"/>
  <c r="B55" i="20" s="1"/>
  <c r="C55" i="20" s="1"/>
  <c r="A37" i="20"/>
  <c r="B37" i="20" s="1"/>
  <c r="C37" i="20" s="1"/>
  <c r="D37" i="20" s="1"/>
  <c r="A58" i="20"/>
  <c r="B58" i="20" s="1"/>
  <c r="C58" i="20" s="1"/>
  <c r="A35" i="20"/>
  <c r="B35" i="20" s="1"/>
  <c r="C35" i="20" s="1"/>
  <c r="A30" i="20"/>
  <c r="B30" i="20" s="1"/>
  <c r="C30" i="20" s="1"/>
  <c r="A26" i="20"/>
  <c r="B26" i="20" s="1"/>
  <c r="C26" i="20" s="1"/>
  <c r="A19" i="20"/>
  <c r="B19" i="20" s="1"/>
  <c r="C19" i="20" s="1"/>
  <c r="A34" i="20"/>
  <c r="B34" i="20" s="1"/>
  <c r="C34" i="20" s="1"/>
  <c r="A53" i="20"/>
  <c r="B53" i="20" s="1"/>
  <c r="C53" i="20" s="1"/>
  <c r="A36" i="20"/>
  <c r="B36" i="20" s="1"/>
  <c r="C36" i="20" s="1"/>
  <c r="A25" i="20"/>
  <c r="B25" i="20" s="1"/>
  <c r="C25" i="20" s="1"/>
  <c r="A22" i="20"/>
  <c r="B22" i="20" s="1"/>
  <c r="C22" i="20" s="1"/>
  <c r="A31" i="20"/>
  <c r="B31" i="20" s="1"/>
  <c r="C31" i="20" s="1"/>
  <c r="A45" i="20"/>
  <c r="B45" i="20" s="1"/>
  <c r="C45" i="20" s="1"/>
  <c r="A17" i="20"/>
  <c r="B17" i="20" s="1"/>
  <c r="C17" i="20" s="1"/>
  <c r="A27" i="20"/>
  <c r="B27" i="20" s="1"/>
  <c r="C27" i="20" s="1"/>
  <c r="A38" i="20"/>
  <c r="B38" i="20" s="1"/>
  <c r="C38" i="20" s="1"/>
  <c r="A43" i="20"/>
  <c r="B43" i="20" s="1"/>
  <c r="C43" i="20" s="1"/>
  <c r="A44" i="20"/>
  <c r="B44" i="20" s="1"/>
  <c r="C44" i="20" s="1"/>
  <c r="A63" i="20"/>
  <c r="B63" i="20" s="1"/>
  <c r="C63" i="20" s="1"/>
  <c r="A18" i="20"/>
  <c r="B18" i="20" s="1"/>
  <c r="C18" i="20" s="1"/>
  <c r="N32" i="1"/>
  <c r="P32" i="1" s="1"/>
  <c r="J35" i="1"/>
  <c r="J44" i="1" s="1"/>
  <c r="J45" i="1" s="1"/>
  <c r="J46" i="1" s="1"/>
  <c r="J47" i="1" s="1"/>
  <c r="J48" i="1" s="1"/>
  <c r="L48" i="1" s="1"/>
  <c r="N33" i="1"/>
  <c r="P33" i="1" s="1"/>
  <c r="L33" i="1"/>
  <c r="I82" i="34"/>
  <c r="H83" i="74" s="1"/>
  <c r="AD98" i="33"/>
  <c r="J58" i="74"/>
  <c r="J59" i="74"/>
  <c r="AI99" i="33"/>
  <c r="O380" i="21"/>
  <c r="J53" i="26"/>
  <c r="L51" i="26" s="1"/>
  <c r="I126" i="17"/>
  <c r="A6" i="38" s="1"/>
  <c r="AJ99" i="33"/>
  <c r="I127" i="17"/>
  <c r="A7" i="20" s="1"/>
  <c r="R61" i="33" l="1"/>
  <c r="R57" i="33"/>
  <c r="R91" i="33"/>
  <c r="R90" i="33"/>
  <c r="R60" i="33"/>
  <c r="R78" i="33"/>
  <c r="R93" i="33"/>
  <c r="R76" i="33"/>
  <c r="R59" i="33"/>
  <c r="R83" i="33"/>
  <c r="R64" i="33"/>
  <c r="R73" i="33"/>
  <c r="R69" i="33"/>
  <c r="R63" i="33"/>
  <c r="Y63" i="33" s="1"/>
  <c r="W63" i="33" s="1"/>
  <c r="R88" i="33"/>
  <c r="R89" i="33"/>
  <c r="R80" i="33"/>
  <c r="R71" i="33"/>
  <c r="R62" i="33"/>
  <c r="R74" i="33"/>
  <c r="R72" i="33"/>
  <c r="R66" i="33"/>
  <c r="R85" i="33"/>
  <c r="R70" i="33"/>
  <c r="AD163" i="33"/>
  <c r="AD167" i="33" s="1"/>
  <c r="C44" i="74" s="1"/>
  <c r="E44" i="74" s="1"/>
  <c r="R67" i="33"/>
  <c r="R65" i="33"/>
  <c r="R82" i="33"/>
  <c r="R58" i="33"/>
  <c r="R92" i="33"/>
  <c r="R84" i="33"/>
  <c r="R79" i="33"/>
  <c r="R75" i="33"/>
  <c r="R68" i="33"/>
  <c r="R87" i="33"/>
  <c r="R81" i="33"/>
  <c r="R77" i="33"/>
  <c r="B111" i="74"/>
  <c r="J111" i="74" s="1"/>
  <c r="J95" i="74"/>
  <c r="B96" i="74"/>
  <c r="J96" i="74" s="1"/>
  <c r="B98" i="74"/>
  <c r="J98" i="74" s="1"/>
  <c r="B97" i="74"/>
  <c r="J97" i="74" s="1"/>
  <c r="B93" i="74"/>
  <c r="J93" i="74" s="1"/>
  <c r="Q380" i="21"/>
  <c r="D52" i="26" s="1"/>
  <c r="B14" i="75"/>
  <c r="C19" i="26"/>
  <c r="D19" i="26" s="1"/>
  <c r="AD173" i="33"/>
  <c r="C45" i="74" s="1"/>
  <c r="E45" i="74" s="1"/>
  <c r="AD175" i="33"/>
  <c r="F45" i="74" s="1"/>
  <c r="AD164" i="33"/>
  <c r="B43" i="74" s="1"/>
  <c r="J43" i="74" s="1"/>
  <c r="Q57" i="33"/>
  <c r="Q82" i="33"/>
  <c r="Q58" i="33"/>
  <c r="Q67" i="33"/>
  <c r="Q76" i="33"/>
  <c r="Y76" i="33" s="1"/>
  <c r="W76" i="33" s="1"/>
  <c r="Q80" i="33"/>
  <c r="Q92" i="33"/>
  <c r="Q61" i="33"/>
  <c r="Q71" i="33"/>
  <c r="Q78" i="33"/>
  <c r="Q62" i="33"/>
  <c r="Q84" i="33"/>
  <c r="Q81" i="33"/>
  <c r="Q59" i="33"/>
  <c r="Y59" i="33" s="1"/>
  <c r="W59" i="33" s="1"/>
  <c r="Q93" i="33"/>
  <c r="Q83" i="33"/>
  <c r="Q70" i="33"/>
  <c r="Q69" i="33"/>
  <c r="Q77" i="33"/>
  <c r="Q66" i="33"/>
  <c r="Q90" i="33"/>
  <c r="Y90" i="33" s="1"/>
  <c r="W90" i="33" s="1"/>
  <c r="Q85" i="33"/>
  <c r="Q79" i="33"/>
  <c r="Q75" i="33"/>
  <c r="Q89" i="33"/>
  <c r="Q88" i="33"/>
  <c r="Q72" i="33"/>
  <c r="B40" i="74"/>
  <c r="J40" i="74" s="1"/>
  <c r="E40" i="74"/>
  <c r="Q86" i="33"/>
  <c r="Y86" i="33" s="1"/>
  <c r="W86" i="33" s="1"/>
  <c r="Q60" i="33"/>
  <c r="Q65" i="33"/>
  <c r="Q87" i="33"/>
  <c r="Q68" i="33"/>
  <c r="Q74" i="33"/>
  <c r="Q73" i="33"/>
  <c r="Q91" i="33"/>
  <c r="Q64" i="33"/>
  <c r="C24" i="62"/>
  <c r="C39" i="74"/>
  <c r="C22" i="26"/>
  <c r="D22" i="26" s="1"/>
  <c r="D50" i="20"/>
  <c r="A2" i="20"/>
  <c r="A3" i="20"/>
  <c r="D20" i="20"/>
  <c r="D51" i="20"/>
  <c r="D58" i="20"/>
  <c r="D38" i="20"/>
  <c r="D21" i="20"/>
  <c r="L35" i="1"/>
  <c r="C35" i="74"/>
  <c r="B35" i="74" s="1"/>
  <c r="N35" i="1"/>
  <c r="N44" i="1" s="1"/>
  <c r="N45" i="1" s="1"/>
  <c r="N46" i="1" s="1"/>
  <c r="N47" i="1" s="1"/>
  <c r="N48" i="1" s="1"/>
  <c r="P48" i="1" s="1"/>
  <c r="H7" i="1" s="1"/>
  <c r="J37" i="1"/>
  <c r="J38" i="1" s="1"/>
  <c r="J39" i="1" s="1"/>
  <c r="J40" i="1" s="1"/>
  <c r="J41" i="1" s="1"/>
  <c r="L41" i="1" s="1"/>
  <c r="C21" i="62"/>
  <c r="D93" i="74"/>
  <c r="C16" i="74"/>
  <c r="B16" i="74" s="1"/>
  <c r="J16" i="74" s="1"/>
  <c r="G67" i="35"/>
  <c r="H93" i="74" s="1"/>
  <c r="D52" i="20"/>
  <c r="D19" i="20"/>
  <c r="D17" i="20"/>
  <c r="D25" i="20"/>
  <c r="D43" i="20"/>
  <c r="D48" i="20"/>
  <c r="D23" i="20"/>
  <c r="D42" i="20"/>
  <c r="D46" i="20"/>
  <c r="D60" i="20"/>
  <c r="D22" i="20"/>
  <c r="D29" i="20"/>
  <c r="D26" i="20"/>
  <c r="D57" i="20"/>
  <c r="D39" i="20"/>
  <c r="D63" i="20"/>
  <c r="D45" i="20"/>
  <c r="D30" i="20"/>
  <c r="D34" i="20"/>
  <c r="D47" i="20"/>
  <c r="D41" i="20"/>
  <c r="D31" i="20"/>
  <c r="D55" i="20"/>
  <c r="D40" i="20"/>
  <c r="D54" i="20"/>
  <c r="D27" i="20"/>
  <c r="D53" i="20"/>
  <c r="D36" i="20"/>
  <c r="D56" i="20"/>
  <c r="D33" i="20"/>
  <c r="D35" i="20"/>
  <c r="D61" i="20"/>
  <c r="D24" i="20"/>
  <c r="D59" i="20"/>
  <c r="D18" i="20"/>
  <c r="D28" i="20"/>
  <c r="D44" i="20"/>
  <c r="D16" i="20"/>
  <c r="D49" i="20"/>
  <c r="Y89" i="33" l="1"/>
  <c r="W89" i="33" s="1"/>
  <c r="Y69" i="33"/>
  <c r="W69" i="33" s="1"/>
  <c r="Y70" i="33"/>
  <c r="W70" i="33" s="1"/>
  <c r="Y80" i="33"/>
  <c r="W80" i="33" s="1"/>
  <c r="Y91" i="33"/>
  <c r="W91" i="33" s="1"/>
  <c r="Y61" i="33"/>
  <c r="W61" i="33" s="1"/>
  <c r="Y57" i="33"/>
  <c r="W57" i="33" s="1"/>
  <c r="Y74" i="33"/>
  <c r="W74" i="33" s="1"/>
  <c r="Y73" i="33"/>
  <c r="W73" i="33" s="1"/>
  <c r="Y60" i="33"/>
  <c r="W60" i="33" s="1"/>
  <c r="Y72" i="33"/>
  <c r="W72" i="33" s="1"/>
  <c r="Y62" i="33"/>
  <c r="W62" i="33" s="1"/>
  <c r="Y78" i="33"/>
  <c r="W78" i="33" s="1"/>
  <c r="Y93" i="33"/>
  <c r="W93" i="33" s="1"/>
  <c r="Y64" i="33"/>
  <c r="W64" i="33" s="1"/>
  <c r="Y88" i="33"/>
  <c r="W88" i="33" s="1"/>
  <c r="Y85" i="33"/>
  <c r="W85" i="33" s="1"/>
  <c r="Y71" i="33"/>
  <c r="W71" i="33" s="1"/>
  <c r="Y66" i="33"/>
  <c r="W66" i="33" s="1"/>
  <c r="Y83" i="33"/>
  <c r="W83" i="33" s="1"/>
  <c r="Y67" i="33"/>
  <c r="W67" i="33" s="1"/>
  <c r="Y82" i="33"/>
  <c r="W82" i="33" s="1"/>
  <c r="Y87" i="33"/>
  <c r="W87" i="33" s="1"/>
  <c r="Y79" i="33"/>
  <c r="W79" i="33" s="1"/>
  <c r="Y58" i="33"/>
  <c r="W58" i="33" s="1"/>
  <c r="C43" i="74"/>
  <c r="E43" i="74" s="1"/>
  <c r="Y65" i="33"/>
  <c r="W65" i="33" s="1"/>
  <c r="Y75" i="33"/>
  <c r="W75" i="33" s="1"/>
  <c r="Y77" i="33"/>
  <c r="W77" i="33" s="1"/>
  <c r="Y81" i="33"/>
  <c r="W81" i="33" s="1"/>
  <c r="Y92" i="33"/>
  <c r="W92" i="33" s="1"/>
  <c r="Y84" i="33"/>
  <c r="W84" i="33" s="1"/>
  <c r="Y68" i="33"/>
  <c r="W68" i="33" s="1"/>
  <c r="J92" i="74"/>
  <c r="B39" i="74"/>
  <c r="E39" i="74"/>
  <c r="P35" i="1"/>
  <c r="N37" i="1"/>
  <c r="N38" i="1" s="1"/>
  <c r="N39" i="1" s="1"/>
  <c r="N40" i="1" s="1"/>
  <c r="N41" i="1" s="1"/>
  <c r="P41" i="1" s="1"/>
  <c r="H6" i="1" s="1"/>
  <c r="G44" i="20" s="1"/>
  <c r="E35" i="74"/>
  <c r="J34" i="74"/>
  <c r="J35" i="74"/>
  <c r="J37" i="74"/>
  <c r="H63" i="20"/>
  <c r="H51" i="20"/>
  <c r="H55" i="20"/>
  <c r="H35" i="20"/>
  <c r="H47" i="20"/>
  <c r="H49" i="20"/>
  <c r="H40" i="20"/>
  <c r="H45" i="20"/>
  <c r="H19" i="20"/>
  <c r="H32" i="20"/>
  <c r="H42" i="20"/>
  <c r="H54" i="20"/>
  <c r="H29" i="20"/>
  <c r="H16" i="20"/>
  <c r="H50" i="20"/>
  <c r="H24" i="20"/>
  <c r="H52" i="20"/>
  <c r="H27" i="20"/>
  <c r="H26" i="20"/>
  <c r="H36" i="20"/>
  <c r="H48" i="20"/>
  <c r="E39" i="26"/>
  <c r="H59" i="20"/>
  <c r="H39" i="20"/>
  <c r="H17" i="20"/>
  <c r="H44" i="20"/>
  <c r="H31" i="20"/>
  <c r="H43" i="20"/>
  <c r="H18" i="20"/>
  <c r="H62" i="20"/>
  <c r="H12" i="20"/>
  <c r="H41" i="20"/>
  <c r="H46" i="20"/>
  <c r="H33" i="20"/>
  <c r="H56" i="20"/>
  <c r="H30" i="20"/>
  <c r="H53" i="20"/>
  <c r="H23" i="20"/>
  <c r="H20" i="20"/>
  <c r="H58" i="20"/>
  <c r="H25" i="20"/>
  <c r="H28" i="20"/>
  <c r="H18" i="62"/>
  <c r="H57" i="20"/>
  <c r="H22" i="20"/>
  <c r="H61" i="20"/>
  <c r="H34" i="20"/>
  <c r="H38" i="20"/>
  <c r="H60" i="20"/>
  <c r="H21" i="20"/>
  <c r="H37" i="20"/>
  <c r="AD56" i="33" l="1"/>
  <c r="C16" i="26" s="1"/>
  <c r="D16" i="26" s="1"/>
  <c r="G30" i="20"/>
  <c r="L44" i="20"/>
  <c r="J39" i="74"/>
  <c r="J41" i="74"/>
  <c r="J38" i="74"/>
  <c r="G58" i="20"/>
  <c r="L58" i="20" s="1"/>
  <c r="G51" i="20"/>
  <c r="L51" i="20" s="1"/>
  <c r="G12" i="20"/>
  <c r="G49" i="20"/>
  <c r="L49" i="20" s="1"/>
  <c r="G53" i="20"/>
  <c r="L53" i="20" s="1"/>
  <c r="G29" i="20"/>
  <c r="G20" i="20"/>
  <c r="H16" i="62"/>
  <c r="I16" i="62" s="1"/>
  <c r="G35" i="20"/>
  <c r="G37" i="20"/>
  <c r="G22" i="20"/>
  <c r="K22" i="20" s="1"/>
  <c r="G55" i="20"/>
  <c r="L55" i="20" s="1"/>
  <c r="G56" i="20"/>
  <c r="L56" i="20" s="1"/>
  <c r="G50" i="20"/>
  <c r="L50" i="20" s="1"/>
  <c r="G32" i="20"/>
  <c r="L32" i="20" s="1"/>
  <c r="G46" i="20"/>
  <c r="L46" i="20" s="1"/>
  <c r="G25" i="20"/>
  <c r="G16" i="20"/>
  <c r="G33" i="20"/>
  <c r="G40" i="20"/>
  <c r="L40" i="20" s="1"/>
  <c r="I6" i="1"/>
  <c r="E37" i="26"/>
  <c r="F37" i="26" s="1"/>
  <c r="G52" i="20"/>
  <c r="L52" i="20" s="1"/>
  <c r="G63" i="20"/>
  <c r="L63" i="20" s="1"/>
  <c r="G43" i="20"/>
  <c r="L43" i="20" s="1"/>
  <c r="G62" i="20"/>
  <c r="L62" i="20" s="1"/>
  <c r="G39" i="20"/>
  <c r="L39" i="20" s="1"/>
  <c r="G42" i="20"/>
  <c r="L42" i="20" s="1"/>
  <c r="G59" i="20"/>
  <c r="L59" i="20" s="1"/>
  <c r="G34" i="20"/>
  <c r="G57" i="20"/>
  <c r="L57" i="20" s="1"/>
  <c r="G61" i="20"/>
  <c r="L61" i="20" s="1"/>
  <c r="G28" i="20"/>
  <c r="G18" i="20"/>
  <c r="G38" i="20"/>
  <c r="L38" i="20" s="1"/>
  <c r="G31" i="20"/>
  <c r="G48" i="20"/>
  <c r="L48" i="20" s="1"/>
  <c r="G26" i="20"/>
  <c r="G21" i="20"/>
  <c r="G23" i="20"/>
  <c r="G24" i="20"/>
  <c r="G27" i="20"/>
  <c r="G54" i="20"/>
  <c r="L54" i="20" s="1"/>
  <c r="G41" i="20"/>
  <c r="L41" i="20" s="1"/>
  <c r="G19" i="20"/>
  <c r="G45" i="20"/>
  <c r="L45" i="20" s="1"/>
  <c r="G17" i="20"/>
  <c r="G60" i="20"/>
  <c r="L60" i="20" s="1"/>
  <c r="G36" i="20"/>
  <c r="G47" i="20"/>
  <c r="L47" i="20" s="1"/>
  <c r="C32" i="74" l="1"/>
  <c r="E32" i="74" s="1"/>
  <c r="C18" i="62"/>
  <c r="K26" i="20"/>
  <c r="L26" i="20"/>
  <c r="K28" i="20"/>
  <c r="L28" i="20"/>
  <c r="K33" i="20"/>
  <c r="L33" i="20"/>
  <c r="K20" i="20"/>
  <c r="L20" i="20"/>
  <c r="K23" i="20"/>
  <c r="L23" i="20"/>
  <c r="K18" i="20"/>
  <c r="L18" i="20"/>
  <c r="K37" i="20"/>
  <c r="L37" i="20"/>
  <c r="K21" i="20"/>
  <c r="L21" i="20"/>
  <c r="K35" i="20"/>
  <c r="L35" i="20"/>
  <c r="K36" i="20"/>
  <c r="L36" i="20"/>
  <c r="K27" i="20"/>
  <c r="L27" i="20"/>
  <c r="K31" i="20"/>
  <c r="L31" i="20"/>
  <c r="K34" i="20"/>
  <c r="L34" i="20"/>
  <c r="K16" i="20"/>
  <c r="L16" i="20"/>
  <c r="K29" i="20"/>
  <c r="L29" i="20"/>
  <c r="K19" i="20"/>
  <c r="L19" i="20"/>
  <c r="K17" i="20"/>
  <c r="L17" i="20"/>
  <c r="K24" i="20"/>
  <c r="L24" i="20"/>
  <c r="K25" i="20"/>
  <c r="L25" i="20"/>
  <c r="K30" i="20"/>
  <c r="L30" i="20"/>
  <c r="L22" i="20"/>
  <c r="K32" i="20"/>
  <c r="B32" i="74" l="1"/>
  <c r="J32" i="74" s="1"/>
  <c r="L114" i="17"/>
  <c r="C61" i="74" s="1"/>
  <c r="E61" i="74" s="1"/>
  <c r="L117" i="17"/>
  <c r="G47" i="19" s="1"/>
  <c r="L111" i="17"/>
  <c r="L112" i="17"/>
  <c r="L116" i="17"/>
  <c r="D58" i="38" s="1"/>
  <c r="L145" i="17"/>
  <c r="L115" i="17"/>
  <c r="L113" i="17"/>
  <c r="L108" i="17"/>
  <c r="L109" i="17" s="1"/>
  <c r="L119" i="17"/>
  <c r="B61" i="74" l="1"/>
  <c r="L138" i="17"/>
  <c r="C28" i="26" s="1"/>
  <c r="C31" i="62"/>
  <c r="C36" i="26"/>
  <c r="C33" i="62"/>
  <c r="A3" i="38"/>
  <c r="A8" i="38" s="1"/>
  <c r="L121" i="17"/>
  <c r="L48" i="19" s="1"/>
  <c r="D46" i="38"/>
  <c r="C30" i="62"/>
  <c r="C29" i="62"/>
  <c r="H28" i="62" s="1"/>
  <c r="J28" i="62" s="1"/>
  <c r="D32" i="60"/>
  <c r="C37" i="26"/>
  <c r="C80" i="19"/>
  <c r="C38" i="26"/>
  <c r="D147" i="38"/>
  <c r="D230" i="38"/>
  <c r="D132" i="38"/>
  <c r="D40" i="38"/>
  <c r="D84" i="38"/>
  <c r="D181" i="38"/>
  <c r="D211" i="38"/>
  <c r="D76" i="38"/>
  <c r="D24" i="38"/>
  <c r="D184" i="38"/>
  <c r="D32" i="38"/>
  <c r="D95" i="38"/>
  <c r="D101" i="38"/>
  <c r="D161" i="38"/>
  <c r="D188" i="38"/>
  <c r="D223" i="38"/>
  <c r="D133" i="38"/>
  <c r="D33" i="60"/>
  <c r="D33" i="38"/>
  <c r="D183" i="38"/>
  <c r="D83" i="38"/>
  <c r="D34" i="38"/>
  <c r="D224" i="38"/>
  <c r="D108" i="38"/>
  <c r="D59" i="38"/>
  <c r="D205" i="38"/>
  <c r="D195" i="38"/>
  <c r="D102" i="38"/>
  <c r="D42" i="38"/>
  <c r="D43" i="38"/>
  <c r="D106" i="38"/>
  <c r="D125" i="38"/>
  <c r="D37" i="38"/>
  <c r="D26" i="38"/>
  <c r="D99" i="38"/>
  <c r="C22" i="61"/>
  <c r="D77" i="38"/>
  <c r="D115" i="38"/>
  <c r="D145" i="38"/>
  <c r="D190" i="38"/>
  <c r="D148" i="38"/>
  <c r="D160" i="38"/>
  <c r="D96" i="38"/>
  <c r="D28" i="38"/>
  <c r="D174" i="38"/>
  <c r="D48" i="38"/>
  <c r="D113" i="38"/>
  <c r="H73" i="74"/>
  <c r="C67" i="74"/>
  <c r="E67" i="74" s="1"/>
  <c r="D81" i="38"/>
  <c r="D60" i="38"/>
  <c r="D19" i="38"/>
  <c r="D152" i="38"/>
  <c r="D139" i="38"/>
  <c r="D104" i="38"/>
  <c r="D55" i="38"/>
  <c r="D71" i="38"/>
  <c r="D85" i="38"/>
  <c r="D146" i="38"/>
  <c r="D194" i="38"/>
  <c r="D126" i="38"/>
  <c r="D109" i="38"/>
  <c r="B68" i="74"/>
  <c r="J68" i="74" s="1"/>
  <c r="D134" i="38"/>
  <c r="D67" i="38"/>
  <c r="D138" i="38"/>
  <c r="D61" i="38"/>
  <c r="D212" i="38"/>
  <c r="D189" i="38"/>
  <c r="D185" i="38"/>
  <c r="D97" i="38"/>
  <c r="D21" i="38"/>
  <c r="D151" i="38"/>
  <c r="D156" i="38"/>
  <c r="D170" i="38"/>
  <c r="D93" i="38"/>
  <c r="D128" i="38"/>
  <c r="D228" i="38"/>
  <c r="L146" i="17"/>
  <c r="G51" i="19" s="1"/>
  <c r="D221" i="38"/>
  <c r="D135" i="38"/>
  <c r="D175" i="38"/>
  <c r="D214" i="38"/>
  <c r="D182" i="38"/>
  <c r="D202" i="38"/>
  <c r="D30" i="38"/>
  <c r="D220" i="38"/>
  <c r="D116" i="38"/>
  <c r="D197" i="38"/>
  <c r="D53" i="38"/>
  <c r="D66" i="38"/>
  <c r="D136" i="38"/>
  <c r="D227" i="38"/>
  <c r="D123" i="38"/>
  <c r="B67" i="74"/>
  <c r="J67" i="74" s="1"/>
  <c r="D80" i="38"/>
  <c r="D208" i="38"/>
  <c r="D149" i="38"/>
  <c r="D103" i="38"/>
  <c r="D86" i="38"/>
  <c r="D231" i="38"/>
  <c r="D120" i="38"/>
  <c r="D29" i="38"/>
  <c r="D173" i="38"/>
  <c r="D167" i="38"/>
  <c r="D180" i="38"/>
  <c r="D226" i="38"/>
  <c r="D51" i="38"/>
  <c r="D107" i="38"/>
  <c r="D177" i="38"/>
  <c r="D171" i="38"/>
  <c r="D63" i="38"/>
  <c r="D65" i="38"/>
  <c r="L125" i="17"/>
  <c r="E22" i="74" s="1"/>
  <c r="D218" i="38"/>
  <c r="D150" i="38"/>
  <c r="D176" i="38"/>
  <c r="D20" i="38"/>
  <c r="D159" i="38"/>
  <c r="D74" i="38"/>
  <c r="D64" i="38"/>
  <c r="D210" i="38"/>
  <c r="D117" i="38"/>
  <c r="D39" i="38"/>
  <c r="C30" i="26"/>
  <c r="D30" i="26" s="1"/>
  <c r="D130" i="38"/>
  <c r="D124" i="38"/>
  <c r="D44" i="38"/>
  <c r="D166" i="38"/>
  <c r="D69" i="38"/>
  <c r="D191" i="38"/>
  <c r="D158" i="38"/>
  <c r="D112" i="38"/>
  <c r="D209" i="38"/>
  <c r="D36" i="38"/>
  <c r="D41" i="38"/>
  <c r="D17" i="38"/>
  <c r="A1" i="38"/>
  <c r="D27" i="38"/>
  <c r="D219" i="38"/>
  <c r="D162" i="38"/>
  <c r="D153" i="38"/>
  <c r="D215" i="38"/>
  <c r="D94" i="38"/>
  <c r="D47" i="38"/>
  <c r="C12" i="74"/>
  <c r="D172" i="38"/>
  <c r="D62" i="38"/>
  <c r="D73" i="38"/>
  <c r="D98" i="38"/>
  <c r="D31" i="38"/>
  <c r="D169" i="38"/>
  <c r="D100" i="38"/>
  <c r="D129" i="38"/>
  <c r="D144" i="38"/>
  <c r="D203" i="38"/>
  <c r="D54" i="38"/>
  <c r="D178" i="38"/>
  <c r="D137" i="38"/>
  <c r="D18" i="38"/>
  <c r="D75" i="38"/>
  <c r="D88" i="38"/>
  <c r="C88" i="38" s="1"/>
  <c r="D207" i="38"/>
  <c r="D141" i="38"/>
  <c r="D78" i="38"/>
  <c r="L137" i="17"/>
  <c r="D27" i="26" s="1"/>
  <c r="L123" i="17"/>
  <c r="B22" i="74" s="1"/>
  <c r="J22" i="74" s="1"/>
  <c r="D121" i="38"/>
  <c r="D35" i="38"/>
  <c r="D179" i="38"/>
  <c r="D199" i="38"/>
  <c r="D163" i="38"/>
  <c r="D216" i="38"/>
  <c r="D70" i="38"/>
  <c r="D155" i="38"/>
  <c r="D114" i="38"/>
  <c r="D204" i="38"/>
  <c r="D131" i="38"/>
  <c r="D154" i="38"/>
  <c r="D206" i="38"/>
  <c r="D200" i="38"/>
  <c r="D217" i="38"/>
  <c r="D225" i="38"/>
  <c r="L135" i="17"/>
  <c r="C62" i="74" s="1"/>
  <c r="E62" i="74" s="1"/>
  <c r="L140" i="17"/>
  <c r="I131" i="17"/>
  <c r="I132" i="17" s="1"/>
  <c r="L132" i="17" s="1"/>
  <c r="B12" i="74"/>
  <c r="J13" i="74" s="1"/>
  <c r="D111" i="38"/>
  <c r="D127" i="38"/>
  <c r="D91" i="38"/>
  <c r="D90" i="38"/>
  <c r="D92" i="38"/>
  <c r="E38" i="60"/>
  <c r="D222" i="38"/>
  <c r="D187" i="38"/>
  <c r="D165" i="38"/>
  <c r="D22" i="38"/>
  <c r="D52" i="38"/>
  <c r="D87" i="38"/>
  <c r="D49" i="38"/>
  <c r="D72" i="38"/>
  <c r="D122" i="38"/>
  <c r="D38" i="38"/>
  <c r="L141" i="17"/>
  <c r="H12" i="74"/>
  <c r="C25" i="26"/>
  <c r="D25" i="26" s="1"/>
  <c r="C27" i="62"/>
  <c r="D34" i="60"/>
  <c r="H61" i="74"/>
  <c r="I55" i="26"/>
  <c r="J55" i="26" s="1"/>
  <c r="L53" i="26" s="1"/>
  <c r="D31" i="60"/>
  <c r="C39" i="26"/>
  <c r="D68" i="38"/>
  <c r="D89" i="38"/>
  <c r="D45" i="38"/>
  <c r="D143" i="38"/>
  <c r="D186" i="38"/>
  <c r="D193" i="38"/>
  <c r="D198" i="38"/>
  <c r="D213" i="38"/>
  <c r="D50" i="38"/>
  <c r="D168" i="38"/>
  <c r="D229" i="38"/>
  <c r="D157" i="38"/>
  <c r="D196" i="38"/>
  <c r="D192" i="38"/>
  <c r="D56" i="38"/>
  <c r="C28" i="62"/>
  <c r="L134" i="17"/>
  <c r="D105" i="38"/>
  <c r="D140" i="38"/>
  <c r="D110" i="38"/>
  <c r="D57" i="38"/>
  <c r="D82" i="38"/>
  <c r="C82" i="38" s="1"/>
  <c r="D23" i="38"/>
  <c r="D25" i="38"/>
  <c r="D164" i="38"/>
  <c r="D118" i="38"/>
  <c r="D201" i="38"/>
  <c r="D79" i="38"/>
  <c r="D119" i="38"/>
  <c r="D142" i="38"/>
  <c r="J61" i="74"/>
  <c r="C131" i="38" l="1"/>
  <c r="C192" i="38"/>
  <c r="C122" i="38"/>
  <c r="C142" i="38"/>
  <c r="C193" i="38"/>
  <c r="C222" i="38"/>
  <c r="C129" i="38"/>
  <c r="C179" i="38"/>
  <c r="M48" i="19"/>
  <c r="B64" i="74"/>
  <c r="J64" i="74" s="1"/>
  <c r="C20" i="61"/>
  <c r="I48" i="19"/>
  <c r="H48" i="19"/>
  <c r="G48" i="19"/>
  <c r="J48" i="19"/>
  <c r="A11" i="38"/>
  <c r="N48" i="19"/>
  <c r="A9" i="38"/>
  <c r="B149" i="38" s="1"/>
  <c r="K48" i="19"/>
  <c r="C32" i="26"/>
  <c r="D28" i="26"/>
  <c r="C64" i="74"/>
  <c r="E64" i="74" s="1"/>
  <c r="D31" i="26"/>
  <c r="C27" i="26"/>
  <c r="C51" i="38"/>
  <c r="C93" i="38"/>
  <c r="C190" i="38"/>
  <c r="C108" i="38"/>
  <c r="C72" i="38"/>
  <c r="C75" i="38"/>
  <c r="C47" i="38"/>
  <c r="C67" i="38"/>
  <c r="C225" i="38"/>
  <c r="C145" i="38"/>
  <c r="C186" i="38"/>
  <c r="C100" i="38"/>
  <c r="C17" i="38"/>
  <c r="C64" i="38"/>
  <c r="C208" i="38"/>
  <c r="C112" i="38"/>
  <c r="C202" i="38"/>
  <c r="C152" i="38"/>
  <c r="C77" i="38"/>
  <c r="C83" i="38"/>
  <c r="C28" i="38"/>
  <c r="C69" i="38"/>
  <c r="C180" i="38"/>
  <c r="C53" i="38"/>
  <c r="C175" i="38"/>
  <c r="C156" i="38"/>
  <c r="C85" i="38"/>
  <c r="C81" i="38"/>
  <c r="C26" i="38"/>
  <c r="C205" i="38"/>
  <c r="C212" i="38"/>
  <c r="C42" i="38"/>
  <c r="C227" i="38"/>
  <c r="C196" i="38"/>
  <c r="C204" i="38"/>
  <c r="C224" i="38"/>
  <c r="C84" i="38"/>
  <c r="C92" i="38"/>
  <c r="C18" i="38"/>
  <c r="C41" i="38"/>
  <c r="C63" i="38"/>
  <c r="C134" i="38"/>
  <c r="C55" i="38"/>
  <c r="C211" i="38"/>
  <c r="C140" i="38"/>
  <c r="C31" i="38"/>
  <c r="C104" i="38"/>
  <c r="C102" i="38"/>
  <c r="C34" i="38"/>
  <c r="C214" i="38"/>
  <c r="C118" i="38"/>
  <c r="C105" i="38"/>
  <c r="C168" i="38"/>
  <c r="C89" i="38"/>
  <c r="C52" i="38"/>
  <c r="C91" i="38"/>
  <c r="C217" i="38"/>
  <c r="C70" i="38"/>
  <c r="C98" i="38"/>
  <c r="C153" i="38"/>
  <c r="C209" i="38"/>
  <c r="C130" i="38"/>
  <c r="C20" i="38"/>
  <c r="C120" i="38"/>
  <c r="C30" i="38"/>
  <c r="C228" i="38"/>
  <c r="C185" i="38"/>
  <c r="C109" i="38"/>
  <c r="C139" i="38"/>
  <c r="C49" i="38"/>
  <c r="C114" i="38"/>
  <c r="C169" i="38"/>
  <c r="C173" i="38"/>
  <c r="C80" i="38"/>
  <c r="C21" i="38"/>
  <c r="C106" i="38"/>
  <c r="C189" i="38"/>
  <c r="C229" i="38"/>
  <c r="C87" i="38"/>
  <c r="C215" i="38"/>
  <c r="C124" i="38"/>
  <c r="C29" i="38"/>
  <c r="C107" i="38"/>
  <c r="C128" i="38"/>
  <c r="C150" i="38"/>
  <c r="C31" i="26"/>
  <c r="C48" i="38"/>
  <c r="C146" i="38"/>
  <c r="C121" i="38"/>
  <c r="C94" i="38"/>
  <c r="C74" i="38"/>
  <c r="C221" i="38"/>
  <c r="C201" i="38"/>
  <c r="C45" i="38"/>
  <c r="C90" i="38"/>
  <c r="C155" i="38"/>
  <c r="C137" i="38"/>
  <c r="C36" i="38"/>
  <c r="C159" i="38"/>
  <c r="C171" i="38"/>
  <c r="C97" i="38"/>
  <c r="C223" i="38"/>
  <c r="C178" i="38"/>
  <c r="C69" i="74"/>
  <c r="E69" i="74" s="1"/>
  <c r="C78" i="38"/>
  <c r="C183" i="38"/>
  <c r="C73" i="38"/>
  <c r="C231" i="38"/>
  <c r="C76" i="38"/>
  <c r="C43" i="38"/>
  <c r="C58" i="38"/>
  <c r="C136" i="38"/>
  <c r="C23" i="38"/>
  <c r="C56" i="38"/>
  <c r="C198" i="38"/>
  <c r="C38" i="38"/>
  <c r="C187" i="38"/>
  <c r="C154" i="38"/>
  <c r="C199" i="38"/>
  <c r="C207" i="38"/>
  <c r="C144" i="38"/>
  <c r="C172" i="38"/>
  <c r="C27" i="38"/>
  <c r="C191" i="38"/>
  <c r="C117" i="38"/>
  <c r="C218" i="38"/>
  <c r="C103" i="38"/>
  <c r="C61" i="38"/>
  <c r="J9" i="74"/>
  <c r="B69" i="74"/>
  <c r="J69" i="74" s="1"/>
  <c r="C210" i="38"/>
  <c r="C149" i="38"/>
  <c r="C138" i="38"/>
  <c r="C63" i="74"/>
  <c r="E63" i="74" s="1"/>
  <c r="O135" i="17"/>
  <c r="O136" i="17" s="1"/>
  <c r="B21" i="74" s="1"/>
  <c r="J15" i="74" s="1"/>
  <c r="C26" i="26"/>
  <c r="D26" i="26" s="1"/>
  <c r="B62" i="74"/>
  <c r="J62" i="74" s="1"/>
  <c r="I134" i="17"/>
  <c r="E21" i="33" s="1"/>
  <c r="S33" i="33" s="1"/>
  <c r="C40" i="38"/>
  <c r="C99" i="38"/>
  <c r="C195" i="38"/>
  <c r="C62" i="38"/>
  <c r="C36" i="62"/>
  <c r="C32" i="38"/>
  <c r="C71" i="38"/>
  <c r="C86" i="38"/>
  <c r="D73" i="74"/>
  <c r="C25" i="38"/>
  <c r="C213" i="38"/>
  <c r="C165" i="38"/>
  <c r="C111" i="38"/>
  <c r="C206" i="38"/>
  <c r="C163" i="38"/>
  <c r="C141" i="38"/>
  <c r="C203" i="38"/>
  <c r="C219" i="38"/>
  <c r="C158" i="38"/>
  <c r="C230" i="38"/>
  <c r="C166" i="38"/>
  <c r="B63" i="74"/>
  <c r="J63" i="74" s="1"/>
  <c r="C133" i="38"/>
  <c r="C125" i="38"/>
  <c r="C148" i="38"/>
  <c r="C95" i="38"/>
  <c r="C194" i="38"/>
  <c r="C35" i="38"/>
  <c r="C181" i="38"/>
  <c r="C220" i="38"/>
  <c r="C174" i="38"/>
  <c r="C115" i="38"/>
  <c r="C66" i="38"/>
  <c r="C60" i="38"/>
  <c r="C96" i="38"/>
  <c r="C132" i="38"/>
  <c r="C176" i="38"/>
  <c r="C182" i="38"/>
  <c r="C135" i="38"/>
  <c r="C39" i="38"/>
  <c r="C101" i="38"/>
  <c r="C19" i="38"/>
  <c r="C188" i="38"/>
  <c r="C119" i="38"/>
  <c r="C57" i="38"/>
  <c r="C123" i="38"/>
  <c r="C226" i="38"/>
  <c r="C167" i="38"/>
  <c r="C37" i="38"/>
  <c r="C44" i="38"/>
  <c r="C126" i="38"/>
  <c r="C170" i="38"/>
  <c r="C151" i="38"/>
  <c r="C147" i="38"/>
  <c r="C184" i="38"/>
  <c r="C59" i="38"/>
  <c r="C197" i="38"/>
  <c r="C24" i="38"/>
  <c r="C33" i="38"/>
  <c r="C79" i="38"/>
  <c r="C110" i="38"/>
  <c r="C157" i="38"/>
  <c r="C143" i="38"/>
  <c r="C177" i="38"/>
  <c r="C162" i="38"/>
  <c r="C54" i="38"/>
  <c r="C65" i="38"/>
  <c r="C161" i="38"/>
  <c r="C160" i="38"/>
  <c r="C113" i="38"/>
  <c r="C116" i="38"/>
  <c r="C46" i="38"/>
  <c r="C164" i="38"/>
  <c r="C50" i="38"/>
  <c r="C68" i="38"/>
  <c r="C22" i="38"/>
  <c r="C127" i="38"/>
  <c r="C200" i="38"/>
  <c r="C216" i="38"/>
  <c r="J12" i="74"/>
  <c r="J10" i="74"/>
  <c r="D32" i="26"/>
  <c r="C70" i="74"/>
  <c r="E70" i="74" s="1"/>
  <c r="B70" i="74"/>
  <c r="J70" i="74" s="1"/>
  <c r="C37" i="62"/>
  <c r="B161" i="38" l="1"/>
  <c r="E161" i="38" s="1"/>
  <c r="B126" i="38"/>
  <c r="B222" i="38"/>
  <c r="E222" i="38" s="1"/>
  <c r="B206" i="38"/>
  <c r="E206" i="38" s="1"/>
  <c r="B141" i="38"/>
  <c r="E141" i="38" s="1"/>
  <c r="B214" i="38"/>
  <c r="E214" i="38" s="1"/>
  <c r="B218" i="38"/>
  <c r="E218" i="38" s="1"/>
  <c r="B174" i="38"/>
  <c r="E174" i="38" s="1"/>
  <c r="B182" i="38"/>
  <c r="E182" i="38" s="1"/>
  <c r="B221" i="38"/>
  <c r="E221" i="38" s="1"/>
  <c r="B113" i="38"/>
  <c r="E113" i="38" s="1"/>
  <c r="B153" i="38"/>
  <c r="E153" i="38" s="1"/>
  <c r="B52" i="38"/>
  <c r="E52" i="38" s="1"/>
  <c r="B85" i="38"/>
  <c r="E85" i="38" s="1"/>
  <c r="B18" i="38"/>
  <c r="E18" i="38" s="1"/>
  <c r="B44" i="38"/>
  <c r="E44" i="38" s="1"/>
  <c r="B33" i="38"/>
  <c r="E33" i="38" s="1"/>
  <c r="B30" i="38"/>
  <c r="E30" i="38" s="1"/>
  <c r="B116" i="38"/>
  <c r="E116" i="38" s="1"/>
  <c r="B71" i="38"/>
  <c r="E71" i="38" s="1"/>
  <c r="B132" i="38"/>
  <c r="E132" i="38" s="1"/>
  <c r="B203" i="38"/>
  <c r="E203" i="38" s="1"/>
  <c r="B102" i="38"/>
  <c r="E102" i="38" s="1"/>
  <c r="B194" i="38"/>
  <c r="E194" i="38" s="1"/>
  <c r="B48" i="38"/>
  <c r="E48" i="38" s="1"/>
  <c r="B117" i="38"/>
  <c r="E117" i="38" s="1"/>
  <c r="B106" i="38"/>
  <c r="E106" i="38" s="1"/>
  <c r="B192" i="38"/>
  <c r="E192" i="38" s="1"/>
  <c r="B183" i="38"/>
  <c r="E183" i="38" s="1"/>
  <c r="B156" i="38"/>
  <c r="E156" i="38" s="1"/>
  <c r="B151" i="38"/>
  <c r="E151" i="38" s="1"/>
  <c r="B42" i="38"/>
  <c r="E42" i="38" s="1"/>
  <c r="B140" i="38"/>
  <c r="E140" i="38" s="1"/>
  <c r="B219" i="38"/>
  <c r="E219" i="38" s="1"/>
  <c r="B111" i="38"/>
  <c r="E111" i="38" s="1"/>
  <c r="B28" i="38"/>
  <c r="E28" i="38" s="1"/>
  <c r="B133" i="38"/>
  <c r="E133" i="38" s="1"/>
  <c r="B36" i="38"/>
  <c r="E36" i="38" s="1"/>
  <c r="B210" i="38"/>
  <c r="E210" i="38" s="1"/>
  <c r="B110" i="38"/>
  <c r="E110" i="38" s="1"/>
  <c r="B139" i="38"/>
  <c r="E139" i="38" s="1"/>
  <c r="B121" i="38"/>
  <c r="E121" i="38" s="1"/>
  <c r="B167" i="38"/>
  <c r="E167" i="38" s="1"/>
  <c r="B38" i="38"/>
  <c r="E38" i="38" s="1"/>
  <c r="B165" i="38"/>
  <c r="E165" i="38" s="1"/>
  <c r="B69" i="38"/>
  <c r="E69" i="38" s="1"/>
  <c r="B186" i="38"/>
  <c r="E186" i="38" s="1"/>
  <c r="B187" i="38"/>
  <c r="E187" i="38" s="1"/>
  <c r="B89" i="38"/>
  <c r="E89" i="38" s="1"/>
  <c r="B164" i="38"/>
  <c r="E164" i="38" s="1"/>
  <c r="B215" i="38"/>
  <c r="E215" i="38" s="1"/>
  <c r="B201" i="38"/>
  <c r="E201" i="38" s="1"/>
  <c r="B96" i="38"/>
  <c r="E96" i="38" s="1"/>
  <c r="B216" i="38"/>
  <c r="E216" i="38" s="1"/>
  <c r="B228" i="38"/>
  <c r="E228" i="38" s="1"/>
  <c r="B122" i="38"/>
  <c r="E122" i="38" s="1"/>
  <c r="B51" i="38"/>
  <c r="E51" i="38" s="1"/>
  <c r="B72" i="38"/>
  <c r="E72" i="38" s="1"/>
  <c r="B115" i="38"/>
  <c r="E115" i="38" s="1"/>
  <c r="B80" i="38"/>
  <c r="E80" i="38" s="1"/>
  <c r="B131" i="38"/>
  <c r="E131" i="38" s="1"/>
  <c r="B107" i="38"/>
  <c r="E107" i="38" s="1"/>
  <c r="B23" i="38"/>
  <c r="E23" i="38" s="1"/>
  <c r="B171" i="38"/>
  <c r="E171" i="38" s="1"/>
  <c r="B73" i="38"/>
  <c r="E73" i="38" s="1"/>
  <c r="B212" i="38"/>
  <c r="E212" i="38" s="1"/>
  <c r="B120" i="38"/>
  <c r="E120" i="38" s="1"/>
  <c r="B84" i="38"/>
  <c r="E84" i="38" s="1"/>
  <c r="B26" i="38"/>
  <c r="E26" i="38" s="1"/>
  <c r="B155" i="38"/>
  <c r="E155" i="38" s="1"/>
  <c r="B152" i="38"/>
  <c r="E152" i="38" s="1"/>
  <c r="B162" i="38"/>
  <c r="E162" i="38" s="1"/>
  <c r="B43" i="38"/>
  <c r="E43" i="38" s="1"/>
  <c r="B170" i="38"/>
  <c r="E170" i="38" s="1"/>
  <c r="B41" i="38"/>
  <c r="E41" i="38" s="1"/>
  <c r="B178" i="38"/>
  <c r="E178" i="38" s="1"/>
  <c r="B79" i="38"/>
  <c r="E79" i="38" s="1"/>
  <c r="B211" i="38"/>
  <c r="E211" i="38" s="1"/>
  <c r="B184" i="38"/>
  <c r="E184" i="38" s="1"/>
  <c r="B105" i="38"/>
  <c r="E105" i="38" s="1"/>
  <c r="B91" i="38"/>
  <c r="E91" i="38" s="1"/>
  <c r="B17" i="38"/>
  <c r="E17" i="38" s="1"/>
  <c r="B31" i="38"/>
  <c r="E31" i="38" s="1"/>
  <c r="B230" i="38"/>
  <c r="E230" i="38" s="1"/>
  <c r="B20" i="38"/>
  <c r="E20" i="38" s="1"/>
  <c r="B138" i="38"/>
  <c r="E138" i="38" s="1"/>
  <c r="B29" i="38"/>
  <c r="E29" i="38" s="1"/>
  <c r="B159" i="38"/>
  <c r="E159" i="38" s="1"/>
  <c r="B148" i="38"/>
  <c r="E148" i="38" s="1"/>
  <c r="B90" i="38"/>
  <c r="E90" i="38" s="1"/>
  <c r="B114" i="38"/>
  <c r="E114" i="38" s="1"/>
  <c r="B202" i="38"/>
  <c r="E202" i="38" s="1"/>
  <c r="B58" i="38"/>
  <c r="E58" i="38" s="1"/>
  <c r="B224" i="38"/>
  <c r="E224" i="38" s="1"/>
  <c r="B47" i="38"/>
  <c r="E47" i="38" s="1"/>
  <c r="B97" i="38"/>
  <c r="E97" i="38" s="1"/>
  <c r="B188" i="38"/>
  <c r="E188" i="38" s="1"/>
  <c r="B109" i="38"/>
  <c r="E109" i="38" s="1"/>
  <c r="B37" i="38"/>
  <c r="E37" i="38" s="1"/>
  <c r="B200" i="38"/>
  <c r="E200" i="38" s="1"/>
  <c r="B45" i="38"/>
  <c r="E45" i="38" s="1"/>
  <c r="B177" i="38"/>
  <c r="E177" i="38" s="1"/>
  <c r="B185" i="38"/>
  <c r="E185" i="38" s="1"/>
  <c r="B157" i="38"/>
  <c r="E157" i="38" s="1"/>
  <c r="B226" i="38"/>
  <c r="E226" i="38" s="1"/>
  <c r="B134" i="38"/>
  <c r="E134" i="38" s="1"/>
  <c r="B193" i="38"/>
  <c r="E193" i="38" s="1"/>
  <c r="B137" i="38"/>
  <c r="E137" i="38" s="1"/>
  <c r="B66" i="38"/>
  <c r="E66" i="38" s="1"/>
  <c r="B70" i="38"/>
  <c r="E70" i="38" s="1"/>
  <c r="B123" i="38"/>
  <c r="E123" i="38" s="1"/>
  <c r="B154" i="38"/>
  <c r="E154" i="38" s="1"/>
  <c r="B169" i="38"/>
  <c r="E169" i="38" s="1"/>
  <c r="B144" i="38"/>
  <c r="E144" i="38" s="1"/>
  <c r="B175" i="38"/>
  <c r="E175" i="38" s="1"/>
  <c r="B189" i="38"/>
  <c r="E189" i="38" s="1"/>
  <c r="B57" i="38"/>
  <c r="E57" i="38" s="1"/>
  <c r="B104" i="38"/>
  <c r="E104" i="38" s="1"/>
  <c r="B60" i="38"/>
  <c r="E60" i="38" s="1"/>
  <c r="B35" i="38"/>
  <c r="E35" i="38" s="1"/>
  <c r="B179" i="38"/>
  <c r="E179" i="38" s="1"/>
  <c r="B40" i="38"/>
  <c r="E40" i="38" s="1"/>
  <c r="B227" i="38"/>
  <c r="E227" i="38" s="1"/>
  <c r="B166" i="38"/>
  <c r="E166" i="38" s="1"/>
  <c r="B62" i="38"/>
  <c r="E62" i="38" s="1"/>
  <c r="B50" i="38"/>
  <c r="E50" i="38" s="1"/>
  <c r="B198" i="38"/>
  <c r="E198" i="38" s="1"/>
  <c r="B135" i="38"/>
  <c r="E135" i="38" s="1"/>
  <c r="B225" i="38"/>
  <c r="E225" i="38" s="1"/>
  <c r="B87" i="38"/>
  <c r="E87" i="38" s="1"/>
  <c r="B204" i="38"/>
  <c r="E204" i="38" s="1"/>
  <c r="B209" i="38"/>
  <c r="E209" i="38" s="1"/>
  <c r="B143" i="38"/>
  <c r="E143" i="38" s="1"/>
  <c r="B88" i="38"/>
  <c r="E88" i="38" s="1"/>
  <c r="B67" i="38"/>
  <c r="E67" i="38" s="1"/>
  <c r="B223" i="38"/>
  <c r="E223" i="38" s="1"/>
  <c r="B24" i="38"/>
  <c r="E24" i="38" s="1"/>
  <c r="B59" i="38"/>
  <c r="E59" i="38" s="1"/>
  <c r="B92" i="38"/>
  <c r="E92" i="38" s="1"/>
  <c r="B173" i="38"/>
  <c r="E173" i="38" s="1"/>
  <c r="B181" i="38"/>
  <c r="E181" i="38" s="1"/>
  <c r="B180" i="38"/>
  <c r="E180" i="38" s="1"/>
  <c r="B231" i="38"/>
  <c r="E231" i="38" s="1"/>
  <c r="B68" i="38"/>
  <c r="E68" i="38" s="1"/>
  <c r="B128" i="38"/>
  <c r="E128" i="38" s="1"/>
  <c r="B64" i="38"/>
  <c r="E64" i="38" s="1"/>
  <c r="B208" i="38"/>
  <c r="E208" i="38" s="1"/>
  <c r="B191" i="38"/>
  <c r="E191" i="38" s="1"/>
  <c r="B158" i="38"/>
  <c r="E158" i="38" s="1"/>
  <c r="B176" i="38"/>
  <c r="E176" i="38" s="1"/>
  <c r="B27" i="38"/>
  <c r="E27" i="38" s="1"/>
  <c r="B142" i="38"/>
  <c r="E142" i="38" s="1"/>
  <c r="B229" i="38"/>
  <c r="E229" i="38" s="1"/>
  <c r="B172" i="38"/>
  <c r="E172" i="38" s="1"/>
  <c r="B146" i="38"/>
  <c r="E146" i="38" s="1"/>
  <c r="B25" i="38"/>
  <c r="E25" i="38" s="1"/>
  <c r="B61" i="38"/>
  <c r="E61" i="38" s="1"/>
  <c r="B81" i="38"/>
  <c r="E81" i="38" s="1"/>
  <c r="B21" i="38"/>
  <c r="E21" i="38" s="1"/>
  <c r="B199" i="38"/>
  <c r="E199" i="38" s="1"/>
  <c r="B86" i="38"/>
  <c r="E86" i="38" s="1"/>
  <c r="B130" i="38"/>
  <c r="E130" i="38" s="1"/>
  <c r="B77" i="38"/>
  <c r="E77" i="38" s="1"/>
  <c r="B39" i="38"/>
  <c r="E39" i="38" s="1"/>
  <c r="B220" i="38"/>
  <c r="E220" i="38" s="1"/>
  <c r="B49" i="38"/>
  <c r="E49" i="38" s="1"/>
  <c r="B101" i="38"/>
  <c r="E101" i="38" s="1"/>
  <c r="B207" i="38"/>
  <c r="E207" i="38" s="1"/>
  <c r="B19" i="38"/>
  <c r="E19" i="38" s="1"/>
  <c r="B99" i="38"/>
  <c r="E99" i="38" s="1"/>
  <c r="B94" i="38"/>
  <c r="E94" i="38" s="1"/>
  <c r="B125" i="38"/>
  <c r="E125" i="38" s="1"/>
  <c r="B32" i="38"/>
  <c r="E32" i="38" s="1"/>
  <c r="B55" i="38"/>
  <c r="E55" i="38" s="1"/>
  <c r="B98" i="38"/>
  <c r="E98" i="38" s="1"/>
  <c r="B217" i="38"/>
  <c r="E217" i="38" s="1"/>
  <c r="B56" i="38"/>
  <c r="E56" i="38" s="1"/>
  <c r="B54" i="38"/>
  <c r="E54" i="38" s="1"/>
  <c r="B136" i="38"/>
  <c r="E136" i="38" s="1"/>
  <c r="B83" i="38"/>
  <c r="E83" i="38" s="1"/>
  <c r="B75" i="38"/>
  <c r="E75" i="38" s="1"/>
  <c r="B163" i="38"/>
  <c r="E163" i="38" s="1"/>
  <c r="B190" i="38"/>
  <c r="E190" i="38" s="1"/>
  <c r="B127" i="38"/>
  <c r="E127" i="38" s="1"/>
  <c r="B108" i="38"/>
  <c r="E108" i="38" s="1"/>
  <c r="B46" i="38"/>
  <c r="E46" i="38" s="1"/>
  <c r="B100" i="38"/>
  <c r="E100" i="38" s="1"/>
  <c r="B103" i="38"/>
  <c r="E103" i="38" s="1"/>
  <c r="B124" i="38"/>
  <c r="E124" i="38" s="1"/>
  <c r="B205" i="38"/>
  <c r="E205" i="38" s="1"/>
  <c r="B93" i="38"/>
  <c r="E93" i="38" s="1"/>
  <c r="B65" i="38"/>
  <c r="E65" i="38" s="1"/>
  <c r="B195" i="38"/>
  <c r="E195" i="38" s="1"/>
  <c r="B196" i="38"/>
  <c r="E196" i="38" s="1"/>
  <c r="B168" i="38"/>
  <c r="E168" i="38" s="1"/>
  <c r="B160" i="38"/>
  <c r="E160" i="38" s="1"/>
  <c r="B95" i="38"/>
  <c r="E95" i="38" s="1"/>
  <c r="B112" i="38"/>
  <c r="E112" i="38" s="1"/>
  <c r="B118" i="38"/>
  <c r="E118" i="38" s="1"/>
  <c r="B74" i="38"/>
  <c r="E74" i="38" s="1"/>
  <c r="B22" i="38"/>
  <c r="E22" i="38" s="1"/>
  <c r="B147" i="38"/>
  <c r="E147" i="38" s="1"/>
  <c r="B53" i="38"/>
  <c r="E53" i="38" s="1"/>
  <c r="B150" i="38"/>
  <c r="E150" i="38" s="1"/>
  <c r="B119" i="38"/>
  <c r="E119" i="38" s="1"/>
  <c r="B145" i="38"/>
  <c r="E145" i="38" s="1"/>
  <c r="B197" i="38"/>
  <c r="E197" i="38" s="1"/>
  <c r="B63" i="38"/>
  <c r="E63" i="38" s="1"/>
  <c r="B213" i="38"/>
  <c r="E213" i="38" s="1"/>
  <c r="B34" i="38"/>
  <c r="E34" i="38" s="1"/>
  <c r="B129" i="38"/>
  <c r="E129" i="38" s="1"/>
  <c r="B76" i="38"/>
  <c r="E76" i="38" s="1"/>
  <c r="B78" i="38"/>
  <c r="E78" i="38" s="1"/>
  <c r="B82" i="38"/>
  <c r="E82" i="38" s="1"/>
  <c r="S36" i="33"/>
  <c r="AA36" i="33" s="1"/>
  <c r="S40" i="33"/>
  <c r="AA40" i="33" s="1"/>
  <c r="S50" i="33"/>
  <c r="Y50" i="33" s="1"/>
  <c r="W50" i="33" s="1"/>
  <c r="S39" i="33"/>
  <c r="Y39" i="33" s="1"/>
  <c r="W39" i="33" s="1"/>
  <c r="S51" i="33"/>
  <c r="AA51" i="33" s="1"/>
  <c r="S37" i="33"/>
  <c r="AA37" i="33" s="1"/>
  <c r="S42" i="33"/>
  <c r="Y42" i="33" s="1"/>
  <c r="W42" i="33" s="1"/>
  <c r="S32" i="33"/>
  <c r="AA32" i="33" s="1"/>
  <c r="S49" i="33"/>
  <c r="Y49" i="33" s="1"/>
  <c r="W49" i="33" s="1"/>
  <c r="S34" i="33"/>
  <c r="AA34" i="33" s="1"/>
  <c r="S44" i="33"/>
  <c r="AA44" i="33" s="1"/>
  <c r="S47" i="33"/>
  <c r="AA47" i="33" s="1"/>
  <c r="E149" i="38"/>
  <c r="J21" i="74"/>
  <c r="J14" i="74"/>
  <c r="J65" i="74"/>
  <c r="E126" i="38"/>
  <c r="S31" i="33"/>
  <c r="Y31" i="33" s="1"/>
  <c r="W31" i="33" s="1"/>
  <c r="S28" i="33"/>
  <c r="AA28" i="33" s="1"/>
  <c r="S43" i="33"/>
  <c r="Y43" i="33" s="1"/>
  <c r="W43" i="33" s="1"/>
  <c r="S38" i="33"/>
  <c r="AA38" i="33" s="1"/>
  <c r="S45" i="33"/>
  <c r="Y45" i="33" s="1"/>
  <c r="W45" i="33" s="1"/>
  <c r="S30" i="33"/>
  <c r="AA30" i="33" s="1"/>
  <c r="S35" i="33"/>
  <c r="Y35" i="33" s="1"/>
  <c r="W35" i="33" s="1"/>
  <c r="S41" i="33"/>
  <c r="Y41" i="33" s="1"/>
  <c r="W41" i="33" s="1"/>
  <c r="S46" i="33"/>
  <c r="Y46" i="33" s="1"/>
  <c r="W46" i="33" s="1"/>
  <c r="S48" i="33"/>
  <c r="AA48" i="33" s="1"/>
  <c r="S29" i="33"/>
  <c r="Y29" i="33" s="1"/>
  <c r="W29" i="33" s="1"/>
  <c r="J60" i="74"/>
  <c r="J66" i="74"/>
  <c r="J71" i="74"/>
  <c r="AA33" i="33"/>
  <c r="Y33" i="33"/>
  <c r="W33" i="33" s="1"/>
  <c r="AA50" i="33" l="1"/>
  <c r="AA49" i="33"/>
  <c r="Y34" i="33"/>
  <c r="W34" i="33" s="1"/>
  <c r="Y36" i="33"/>
  <c r="W36" i="33" s="1"/>
  <c r="AA39" i="33"/>
  <c r="Y51" i="33"/>
  <c r="W51" i="33" s="1"/>
  <c r="AA42" i="33"/>
  <c r="Y40" i="33"/>
  <c r="W40" i="33" s="1"/>
  <c r="Y48" i="33"/>
  <c r="W48" i="33" s="1"/>
  <c r="Y32" i="33"/>
  <c r="W32" i="33" s="1"/>
  <c r="Y37" i="33"/>
  <c r="W37" i="33" s="1"/>
  <c r="AA45" i="33"/>
  <c r="Y47" i="33"/>
  <c r="W47" i="33" s="1"/>
  <c r="Y44" i="33"/>
  <c r="W44" i="33" s="1"/>
  <c r="AA43" i="33"/>
  <c r="J2" i="38"/>
  <c r="Y30" i="33"/>
  <c r="W30" i="33" s="1"/>
  <c r="H3" i="38"/>
  <c r="AA41" i="33"/>
  <c r="H2" i="38"/>
  <c r="AA35" i="33"/>
  <c r="AA31" i="33"/>
  <c r="J3" i="38"/>
  <c r="AA29" i="33"/>
  <c r="Y28" i="33"/>
  <c r="W28" i="33" s="1"/>
  <c r="Y38" i="33"/>
  <c r="W38" i="33" s="1"/>
  <c r="AA46" i="33"/>
  <c r="L21" i="62" l="1"/>
  <c r="L38" i="26"/>
  <c r="K21" i="62"/>
  <c r="J40" i="26"/>
  <c r="AI28" i="33"/>
  <c r="AI159" i="33" s="1"/>
  <c r="S7" i="33" s="1"/>
  <c r="S9" i="33" s="1"/>
  <c r="J39" i="26"/>
  <c r="C74" i="74"/>
  <c r="B74" i="74" s="1"/>
  <c r="J74" i="74" s="1"/>
  <c r="L37" i="26"/>
  <c r="L22" i="62"/>
  <c r="K22" i="62"/>
  <c r="C73" i="74"/>
  <c r="E73" i="74" s="1"/>
  <c r="AD27" i="33"/>
  <c r="AJ28" i="33"/>
  <c r="AJ159" i="33" s="1"/>
  <c r="S8" i="33" s="1"/>
  <c r="S11" i="33" s="1"/>
  <c r="F20" i="74" s="1"/>
  <c r="AD28" i="33"/>
  <c r="C86" i="17" l="1"/>
  <c r="H43" i="26"/>
  <c r="J43" i="26" s="1"/>
  <c r="H25" i="62"/>
  <c r="H26" i="62" s="1"/>
  <c r="C16" i="62"/>
  <c r="C19" i="62"/>
  <c r="AD165" i="33"/>
  <c r="F43" i="74" s="1"/>
  <c r="AD169" i="33"/>
  <c r="F44" i="74" s="1"/>
  <c r="AD168" i="33"/>
  <c r="B44" i="74" s="1"/>
  <c r="J44" i="74" s="1"/>
  <c r="AD174" i="33"/>
  <c r="AD178" i="33" s="1"/>
  <c r="B46" i="74" s="1"/>
  <c r="J46" i="74" s="1"/>
  <c r="B73" i="74"/>
  <c r="J73" i="74" s="1"/>
  <c r="AD180" i="33"/>
  <c r="C49" i="74" s="1"/>
  <c r="E49" i="74" s="1"/>
  <c r="AD181" i="33"/>
  <c r="B49" i="74" s="1"/>
  <c r="J50" i="74" s="1"/>
  <c r="E74" i="74"/>
  <c r="H54" i="74"/>
  <c r="H53" i="74"/>
  <c r="H27" i="62"/>
  <c r="J27" i="62" s="1"/>
  <c r="C30" i="74"/>
  <c r="E30" i="74" s="1"/>
  <c r="H52" i="74"/>
  <c r="H55" i="74"/>
  <c r="AD217" i="33"/>
  <c r="C15" i="26"/>
  <c r="D15" i="26" s="1"/>
  <c r="AD190" i="33"/>
  <c r="B52" i="74" s="1"/>
  <c r="C82" i="17"/>
  <c r="I82" i="17" s="1"/>
  <c r="C17" i="26"/>
  <c r="D17" i="26" s="1"/>
  <c r="I48" i="17"/>
  <c r="I50" i="17" s="1"/>
  <c r="C31" i="74"/>
  <c r="E31" i="74" s="1"/>
  <c r="I86" i="17" l="1"/>
  <c r="B53" i="74"/>
  <c r="J53" i="74" s="1"/>
  <c r="H44" i="26"/>
  <c r="B55" i="74"/>
  <c r="J55" i="74" s="1"/>
  <c r="B54" i="74"/>
  <c r="J54" i="74" s="1"/>
  <c r="A60" i="34"/>
  <c r="J68" i="19"/>
  <c r="G65" i="34"/>
  <c r="E65" i="34" s="1"/>
  <c r="G61" i="34"/>
  <c r="E61" i="34" s="1"/>
  <c r="G62" i="34"/>
  <c r="E62" i="34" s="1"/>
  <c r="A89" i="34"/>
  <c r="B90" i="74" s="1"/>
  <c r="J90" i="74" s="1"/>
  <c r="I68" i="19"/>
  <c r="H14" i="34"/>
  <c r="A84" i="34"/>
  <c r="B84" i="74" s="1"/>
  <c r="J84" i="74" s="1"/>
  <c r="C25" i="61"/>
  <c r="C79" i="34"/>
  <c r="F80" i="74" s="1"/>
  <c r="G57" i="34"/>
  <c r="E57" i="34" s="1"/>
  <c r="C85" i="34"/>
  <c r="F86" i="74" s="1"/>
  <c r="N68" i="19"/>
  <c r="M68" i="19"/>
  <c r="G63" i="34"/>
  <c r="E63" i="34" s="1"/>
  <c r="G66" i="34"/>
  <c r="E66" i="34" s="1"/>
  <c r="G68" i="19"/>
  <c r="H68" i="19"/>
  <c r="B11" i="34"/>
  <c r="I85" i="34"/>
  <c r="H86" i="74" s="1"/>
  <c r="H26" i="34"/>
  <c r="O27" i="34" s="1"/>
  <c r="A80" i="34" s="1"/>
  <c r="B81" i="74" s="1"/>
  <c r="C81" i="34"/>
  <c r="F82" i="74" s="1"/>
  <c r="K68" i="19"/>
  <c r="G59" i="34"/>
  <c r="E59" i="34" s="1"/>
  <c r="C82" i="34"/>
  <c r="F83" i="74" s="1"/>
  <c r="G64" i="34"/>
  <c r="E64" i="34" s="1"/>
  <c r="G60" i="34"/>
  <c r="E60" i="34" s="1"/>
  <c r="C83" i="34"/>
  <c r="F85" i="74" s="1"/>
  <c r="L68" i="19"/>
  <c r="G58" i="34"/>
  <c r="E58" i="34" s="1"/>
  <c r="J25" i="62"/>
  <c r="B45" i="74"/>
  <c r="J45" i="74" s="1"/>
  <c r="J72" i="74"/>
  <c r="J77" i="74"/>
  <c r="J10" i="26"/>
  <c r="B30" i="74"/>
  <c r="J30" i="74" s="1"/>
  <c r="J48" i="74"/>
  <c r="J49" i="74"/>
  <c r="J52" i="74"/>
  <c r="B31" i="74"/>
  <c r="J31" i="74" s="1"/>
  <c r="O56" i="34" l="1"/>
  <c r="J12" i="26"/>
  <c r="J14" i="26" s="1"/>
  <c r="J56" i="74"/>
  <c r="J51" i="74"/>
  <c r="J81" i="74"/>
  <c r="J42" i="74"/>
  <c r="J47" i="74"/>
  <c r="J29" i="74"/>
  <c r="J33" i="74"/>
  <c r="F45" i="62" l="1"/>
  <c r="A87" i="34"/>
  <c r="B88" i="74" s="1"/>
  <c r="J88" i="74" s="1"/>
  <c r="A86" i="34"/>
  <c r="B87" i="74" s="1"/>
  <c r="J16" i="26"/>
  <c r="J23" i="26" s="1"/>
  <c r="M9" i="18" s="1"/>
  <c r="M11" i="18" s="1"/>
  <c r="J87" i="74" l="1"/>
  <c r="J91" i="74"/>
  <c r="J78" i="74"/>
  <c r="J28" i="26"/>
  <c r="M15" i="18" s="1"/>
  <c r="F77" i="19" l="1"/>
</calcChain>
</file>

<file path=xl/sharedStrings.xml><?xml version="1.0" encoding="utf-8"?>
<sst xmlns="http://schemas.openxmlformats.org/spreadsheetml/2006/main" count="5900" uniqueCount="2406">
  <si>
    <t>GUF-P 2000 TAIL 01</t>
  </si>
  <si>
    <t>GUF-P 2000 TAIL 01 LONG</t>
  </si>
  <si>
    <t>GUF-P 2000 TAIL 09</t>
  </si>
  <si>
    <t>GUF-P 2000 TAIL 11</t>
  </si>
  <si>
    <t>GUF-P 2000/50 TAIL 13</t>
  </si>
  <si>
    <t>GUF-P 2000/100 TAIL 13</t>
  </si>
  <si>
    <t>GUF-P 2000/150 TAIL 13</t>
  </si>
  <si>
    <t>GUF-P 2000/200 TAIL 13</t>
  </si>
  <si>
    <t>GUF-P 2000/250 TAIL 13</t>
  </si>
  <si>
    <t>GUF-P 2000/300 TAIL 13</t>
  </si>
  <si>
    <t>GUF-P 2000/400 TAIL 13</t>
  </si>
  <si>
    <t>GUF-P 2000/500 TAIL 13</t>
  </si>
  <si>
    <t>GUF-P 2000/600 TAIL 13</t>
  </si>
  <si>
    <t>GUF-P 2000/700 TAIL 13</t>
  </si>
  <si>
    <t>GUF-P 2000/800 TAIL 13</t>
  </si>
  <si>
    <t>GUF-P 2000 TAIL 13</t>
  </si>
  <si>
    <t>GUF-P 2000 TAIL 13 LONG</t>
  </si>
  <si>
    <t>GUF-P 2000/50 TAIL 17</t>
  </si>
  <si>
    <t>GUF-P 2000/100 TAIL 17</t>
  </si>
  <si>
    <t>GUF-P 2000/150 TAIL 17</t>
  </si>
  <si>
    <t>GUF-P 2000/200 TAIL 17</t>
  </si>
  <si>
    <t>GUF-P 2000/250 TAIL 17</t>
  </si>
  <si>
    <t>GUF-P 2000/300 TAIL 17</t>
  </si>
  <si>
    <t>GUF-P 2000 TAIL 17</t>
  </si>
  <si>
    <t>GUF-P 2000 TAIL 19</t>
  </si>
  <si>
    <t>GUF-P 2000 TAIL 19 LONG</t>
  </si>
  <si>
    <t>CLAMP 1*</t>
  </si>
  <si>
    <t>CLAMP 2</t>
  </si>
  <si>
    <t>CLAMP 3</t>
  </si>
  <si>
    <t>RAIL CLAMP, SHORT</t>
  </si>
  <si>
    <t>CLAMP M8</t>
  </si>
  <si>
    <t>NUT 2/25 M8</t>
  </si>
  <si>
    <t>NUT 2/50 M8*</t>
  </si>
  <si>
    <t>NUT 3/50 M8</t>
  </si>
  <si>
    <t>NUT 4/50 M8</t>
  </si>
  <si>
    <t>NUT 2/35 M8</t>
  </si>
  <si>
    <t>SIDE RAIL FLAT</t>
  </si>
  <si>
    <t>PAD PLATE F M16</t>
  </si>
  <si>
    <t>PEDESTAL BASE 1</t>
  </si>
  <si>
    <t>FLOOR PLATE</t>
  </si>
  <si>
    <t>PEDESTAL BASE 4*</t>
  </si>
  <si>
    <t>TRIANGULAR BASE</t>
  </si>
  <si>
    <t>PEDESTAL BASE 6, H=52</t>
  </si>
  <si>
    <t>PEDESTAL BASE 7, H=52</t>
  </si>
  <si>
    <t>STAND PLATE SBF-P 2000</t>
  </si>
  <si>
    <t>STAND PLATE, SMALL, BLACK</t>
  </si>
  <si>
    <t>STAND PLATE, LONG, BLACK</t>
  </si>
  <si>
    <t>STAND PLATE, OFFSET LEFT</t>
  </si>
  <si>
    <t>STAND PLATE, OFFSET RIGHT</t>
  </si>
  <si>
    <t>PROFILE MK 2000</t>
  </si>
  <si>
    <t>PROFILE mk 2001</t>
  </si>
  <si>
    <t>PROFILE MK 2004</t>
  </si>
  <si>
    <t>PROFILE mk 2007</t>
  </si>
  <si>
    <t>PROFILE MK 2235*</t>
  </si>
  <si>
    <t>PROFILE mk 2236</t>
  </si>
  <si>
    <t>PROFILE MK 2237*</t>
  </si>
  <si>
    <t>PROFILE MK 2238*</t>
  </si>
  <si>
    <t>PROFILE MK 2239</t>
  </si>
  <si>
    <t>PROFILE mk 2040.01</t>
  </si>
  <si>
    <t>PROFILE mk 2040.02</t>
  </si>
  <si>
    <t>PROFILE MK 2040.40</t>
  </si>
  <si>
    <t>ROD, 12X50MM</t>
  </si>
  <si>
    <t>ROD, 12X75 MM</t>
  </si>
  <si>
    <t>ROD, 12x100mm</t>
  </si>
  <si>
    <t>ROD, 12x150mm</t>
  </si>
  <si>
    <t>1x 13</t>
  </si>
  <si>
    <t>2x 13</t>
  </si>
  <si>
    <t>Head w.out 17</t>
  </si>
  <si>
    <t>Head w. 17</t>
  </si>
  <si>
    <t>Center w.out 17</t>
  </si>
  <si>
    <t>Center w. 1x17</t>
  </si>
  <si>
    <t>Center w. 2x17</t>
  </si>
  <si>
    <t>Head w.out 13</t>
  </si>
  <si>
    <t>Head w. 13</t>
  </si>
  <si>
    <t>Center w.out 13</t>
  </si>
  <si>
    <t>Center w. 1x13</t>
  </si>
  <si>
    <t>Center w. 2x13</t>
  </si>
  <si>
    <t>ROD, 12x200mm</t>
  </si>
  <si>
    <t>RAIL, 12x50mm</t>
  </si>
  <si>
    <t>ROD, 12X75MM</t>
  </si>
  <si>
    <t>RAIL, 12x100mm</t>
  </si>
  <si>
    <t>RAIL, 12x150mm</t>
  </si>
  <si>
    <t>RAIL, 12x200mm</t>
  </si>
  <si>
    <t>ROD, 12 X 250MM</t>
  </si>
  <si>
    <t>ROD, 12x50mm</t>
  </si>
  <si>
    <t>ROD, 12x75mm</t>
  </si>
  <si>
    <t>ROD, 12X150MM</t>
  </si>
  <si>
    <t>ROD, 12X75</t>
  </si>
  <si>
    <t>ROD, 12X100MM</t>
  </si>
  <si>
    <t>END CAP REWORK</t>
  </si>
  <si>
    <t>ANGLE B35S1</t>
  </si>
  <si>
    <t>ANGLE B50S2</t>
  </si>
  <si>
    <t>ANGLE E40*</t>
  </si>
  <si>
    <t>ANGLE E25S*</t>
  </si>
  <si>
    <t>GUF-P 2000/50 LAGGED ROLL</t>
  </si>
  <si>
    <t>GUF-P 2000/50 BA LAGGED ROLL</t>
  </si>
  <si>
    <t>GUF-P 2000/50 BC LAGGED ROLL</t>
  </si>
  <si>
    <t>GUF-P 2000/50 AW LAGGED ROLL</t>
  </si>
  <si>
    <t>GUF-P 2000/100 AW LAGGED  ROLL</t>
  </si>
  <si>
    <t>B46.07.003</t>
  </si>
  <si>
    <t>PROFILE EXTENSION ASSY.</t>
  </si>
  <si>
    <t>GUF-P 2000/150 AW LAGGED ROLL</t>
  </si>
  <si>
    <t>GUF-P 2000/200 AW LAGGED ROLL</t>
  </si>
  <si>
    <t>GUF-P 2000/250 AW LAGGED ROLL</t>
  </si>
  <si>
    <t>GUF-P 2000/300 AW LAGGED ROLL</t>
  </si>
  <si>
    <t>GUF-P 2000/400 AW LAGGED ROLL</t>
  </si>
  <si>
    <t>GUF-P 2000/500 AW LAGGED ROLL</t>
  </si>
  <si>
    <t>GUF-P 2000/600 AW LAGGED ROLL</t>
  </si>
  <si>
    <t>GUF-P 2000/700 AW LAGGED ROLL</t>
  </si>
  <si>
    <t>GUF-P 2000/800 AW LAGGED ROLL</t>
  </si>
  <si>
    <t>GUF-P 2000/50 STEEL ROLL</t>
  </si>
  <si>
    <t>DRIVE ROLL, GUF-P 2000/50 BA</t>
  </si>
  <si>
    <t>GUF-P 2000/50 BA DRIVE ROLL</t>
  </si>
  <si>
    <t>DRIVE ROLL, GUF-P 2000/50 BC</t>
  </si>
  <si>
    <t>STEEL DRUM, GUF-P 2000/50 BC</t>
  </si>
  <si>
    <t>DRIVE ROLL, GUF-P 2000/50 AW</t>
  </si>
  <si>
    <t>GUF-P 2000/100 SUPPORT ROLL</t>
  </si>
  <si>
    <t>GUF-P 2000/150 SUPPORT ROLL</t>
  </si>
  <si>
    <t>GUF-P 2000/200 SUPPORT ROLL</t>
  </si>
  <si>
    <t>GUF-P 2000/250 SUPPORT ROLL</t>
  </si>
  <si>
    <t>GUF-P 2000/300 SUPPORT ROLL</t>
  </si>
  <si>
    <t>GUF-P 2000/50 SUPPORT ROLL</t>
  </si>
  <si>
    <t>GUF-P 2000/400 SUPPORT ROLL</t>
  </si>
  <si>
    <t>GUF-P 2000/500 SUPPORT ROLL</t>
  </si>
  <si>
    <t>GUF-P 2000/600 SUPPORT ROLL</t>
  </si>
  <si>
    <t>GUF-P 2000/700 SUPPORT ROLL</t>
  </si>
  <si>
    <t>GUF-P 2000/800 SUPPORT ROLL</t>
  </si>
  <si>
    <t>LEVELING PAD KB M16x85</t>
  </si>
  <si>
    <t>LEVELING PAD KB M12X50</t>
  </si>
  <si>
    <t>DRIVE ROLL, 2000HR100</t>
  </si>
  <si>
    <t>DRIVE ROLL, 2000HR150</t>
  </si>
  <si>
    <t>DRIVE ROLL, 2000HR200</t>
  </si>
  <si>
    <t>DRIVE ROLL, 2000HR250</t>
  </si>
  <si>
    <t>DRIVE ROLL, 2000HR300</t>
  </si>
  <si>
    <t>DRIVE ROLL, 2000HR400</t>
  </si>
  <si>
    <t>DRIVE ROLL, 2000HR500</t>
  </si>
  <si>
    <t>DRIVE ROLL, 2000HR600</t>
  </si>
  <si>
    <t>DRIVE ROLL, 2000HR700</t>
  </si>
  <si>
    <t>DRIVE ROLL, 2000HR800</t>
  </si>
  <si>
    <t>LAGGED ROLL, GUF-P 2000/100</t>
  </si>
  <si>
    <t>LAGGED ROLL, GUF-P 2000/150</t>
  </si>
  <si>
    <t>LAGGED ROLL, GUF-P 2000/200</t>
  </si>
  <si>
    <t>LAGGED ROLL, GUF-P 2000/250</t>
  </si>
  <si>
    <t>LAGGED ROLL, GUF-P 2000/300</t>
  </si>
  <si>
    <t>LAGGED ROLL, GUF-P 2000/400</t>
  </si>
  <si>
    <t>LAGGED ROLL, GUF-P 2000/500</t>
  </si>
  <si>
    <t>LAGGED ROLL, GUF-P 2000/600</t>
  </si>
  <si>
    <t>LAGGED ROLL, GUF-P 2000/700</t>
  </si>
  <si>
    <t>LAGGED ROLL, GUF-P 2000/800</t>
  </si>
  <si>
    <t>GUF-P 2000/100 BC LAGGED ROLL</t>
  </si>
  <si>
    <t>GUF-P 2000/150 BC LAGGED ROLL</t>
  </si>
  <si>
    <t>GUF-P 2000/200 BC LAGGED ROLL</t>
  </si>
  <si>
    <t>GUF-P 2000/250 BC LAGGED ROLL</t>
  </si>
  <si>
    <t>GUF-P 2000/300 BC LAGGED ROLL</t>
  </si>
  <si>
    <t>GUF-P 2000/400 BC LAGGED ROLL</t>
  </si>
  <si>
    <t>GUF-P 2000/500 BC LAGGED ROLL</t>
  </si>
  <si>
    <t>GUF-P 2000/600 BC LAGGED ROLL</t>
  </si>
  <si>
    <t>GUF-P 2000/700 BC LAGGED ROLL</t>
  </si>
  <si>
    <t>GUF-P 2000/800 BC LAGGED ROLL</t>
  </si>
  <si>
    <t>88MM LAGGED ROLL, 2000/100</t>
  </si>
  <si>
    <t>88MM DRIVE ROLL, 2000/150</t>
  </si>
  <si>
    <t>88MM DRIVE ROLL, 2000/200</t>
  </si>
  <si>
    <t>88MM DRIVE ROLL, 2000/250</t>
  </si>
  <si>
    <t>88MM DRIVE ROLL, 2000/300</t>
  </si>
  <si>
    <t>88MM, DRIVE ROLL, 2041V4R400</t>
  </si>
  <si>
    <t>88mm DRIVE ROLL, 2041V4R500</t>
  </si>
  <si>
    <t>88MM DRIVE ROLL, 2000/600</t>
  </si>
  <si>
    <t>88MM DRIVE ROLL, 2000/700</t>
  </si>
  <si>
    <t>88MM DRIVE ROLL, 2000/800</t>
  </si>
  <si>
    <t>GUF-P 2000 DRIVE/100</t>
  </si>
  <si>
    <t>GUF-P 2000 DRIVE/150</t>
  </si>
  <si>
    <t>GUF-P 2000 DRIVE/200</t>
  </si>
  <si>
    <t>GUF-P 2000 DRIVE/250</t>
  </si>
  <si>
    <t>GUF-P 2000 DRIVE/300</t>
  </si>
  <si>
    <t>GUF-P 2000 DRIVE/400</t>
  </si>
  <si>
    <t>GUF-P 2000 DRIVE/500</t>
  </si>
  <si>
    <t>GUF-P 2000 DRIVE/600</t>
  </si>
  <si>
    <t>GUF-P 2000 DRIVE/700</t>
  </si>
  <si>
    <t>GUF-P 2000 DRIVE/800</t>
  </si>
  <si>
    <t>SIDE RAIL CLAMP</t>
  </si>
  <si>
    <t>GUF-P 2000/100 DRIVE DRUM</t>
  </si>
  <si>
    <t>GUF-P 2000/150 DRIVE DRUM</t>
  </si>
  <si>
    <t>GUF-P 2000/200 DRIVE DRUM</t>
  </si>
  <si>
    <t>GUF-P 2000/250 DRIVE DRUM</t>
  </si>
  <si>
    <t>GUF-P 2000/300 DRIVE DRUM</t>
  </si>
  <si>
    <t>GUF-P 2000/400 DRIVE DRUM</t>
  </si>
  <si>
    <t>GUF-P 2000/500 DRIVE DRUM</t>
  </si>
  <si>
    <t>GUF-P 2000/600 DRIVE DRUM</t>
  </si>
  <si>
    <t>GUF-P 2000/700 DRIVE DRUM</t>
  </si>
  <si>
    <t>07.09.0035</t>
  </si>
  <si>
    <t>END CAP FOR RAIL 23 &amp; 24</t>
  </si>
  <si>
    <t>GUF-P 2000/800 DRIVE DRUM</t>
  </si>
  <si>
    <t>GUF-P 2000/100 DRIVE ROLL</t>
  </si>
  <si>
    <t>GUF-P 2000/150 DRIVE ROLL</t>
  </si>
  <si>
    <t>GUF-P 2000/200 DRIVE ROLL</t>
  </si>
  <si>
    <t>GUF-P 2000/250 DRIVE ROLL</t>
  </si>
  <si>
    <t>GUF-P 2000/100 BA LAGGED ROLL</t>
  </si>
  <si>
    <t>GUF-P 2000/150 BA LAGGED ROLL</t>
  </si>
  <si>
    <t>GUF-P 2000/200 BA LAGGED ROLL</t>
  </si>
  <si>
    <t>GUF-P 2000/250 BA LAGGED ROLL</t>
  </si>
  <si>
    <t>GUF-P 2000/300 BA LAGGED ROLL</t>
  </si>
  <si>
    <t>GUF-P 2000/400 BA  LAGGED ROLL</t>
  </si>
  <si>
    <t>GUF-P 2000/500 BA LAGGED ROLL</t>
  </si>
  <si>
    <t>GUF-P 2000/600 BA LAGGED ROLL</t>
  </si>
  <si>
    <t>GUF-P 2000/700 BA LAGGED ROLL</t>
  </si>
  <si>
    <t>GUF-P 2000/800 BA LAGGED ROLL</t>
  </si>
  <si>
    <t>88MM LAGGED 2000/100 BA</t>
  </si>
  <si>
    <t>88MM LAGGED 2000/150 BA</t>
  </si>
  <si>
    <t>88MM LAGGED 2000/200 BA</t>
  </si>
  <si>
    <t>Subtotal 1</t>
  </si>
  <si>
    <t>Pricing Summary</t>
  </si>
  <si>
    <t>88MM LAGGED 2000/250 BA</t>
  </si>
  <si>
    <t>88MM LAGGED 2000/300 BA</t>
  </si>
  <si>
    <t>88MM LAGGED 2000/400 BA</t>
  </si>
  <si>
    <t>88MM LAGGED 2000/500 BA</t>
  </si>
  <si>
    <t>88MM LAGGED 2000/600 BA</t>
  </si>
  <si>
    <t>88MM LAGGED 2000/700 BA</t>
  </si>
  <si>
    <t>88MM LAGGED 2000/800 BA</t>
  </si>
  <si>
    <t>GUF-P 2000 TAIL 01/100 DRUM</t>
  </si>
  <si>
    <t>GUF-P 2000 TAIL 01/150 DRUM</t>
  </si>
  <si>
    <t>GUF-P 2000 TAIL 01/200 DRUM</t>
  </si>
  <si>
    <t>GUF-P 2000 TAIL 01/250 DRUM</t>
  </si>
  <si>
    <t>GUF-P 2000 TAIL 01/300 DRUM</t>
  </si>
  <si>
    <t>GUF-P 2000 TAIL 01/400 DRUM</t>
  </si>
  <si>
    <t>GUF-P 2000 TAIL 01/500 DRUM</t>
  </si>
  <si>
    <t>GUF-P 2000 TAIL 01/600 DRUM</t>
  </si>
  <si>
    <t>GUF-P 2000 TAIL 01/700 DRUM</t>
  </si>
  <si>
    <t>GUF-P 2000 TAIL 01/800 DRUM</t>
  </si>
  <si>
    <t>GUF-P 2000/100 TAIL 11 DRUM</t>
  </si>
  <si>
    <t>GUF-P 2000/150 TAIL 11 DRUM</t>
  </si>
  <si>
    <t>GUF-P 2000/200 TAIL 11 DRUM</t>
  </si>
  <si>
    <t>GUF-P 2000/250 TAIL 11 DRUM</t>
  </si>
  <si>
    <t>GUF-P 2000/300 TAIL 11 DRUM</t>
  </si>
  <si>
    <t>GUF-P 2000/400 TAIL 11 DRUM</t>
  </si>
  <si>
    <t>GUF-P 2000/500 TAIL 11 DRUM</t>
  </si>
  <si>
    <t>M8x16 SHCS</t>
  </si>
  <si>
    <t>M8X20 SHCS</t>
  </si>
  <si>
    <t>M8x25 SHCS</t>
  </si>
  <si>
    <t>M8x35 SHCS</t>
  </si>
  <si>
    <t>M16X60 FLAT POINT SET SCREW</t>
  </si>
  <si>
    <t>M16X80 FLAT POINT SET SCREW</t>
  </si>
  <si>
    <t>M12x40 HEX HEAD SCREW</t>
  </si>
  <si>
    <t>M10 HEX NUT</t>
  </si>
  <si>
    <t>M16 HEX NUT</t>
  </si>
  <si>
    <t>M12x30 FH-SHCS</t>
  </si>
  <si>
    <t>LEVELING SCREW, M10x30</t>
  </si>
  <si>
    <t>END CAP 50 X 50</t>
  </si>
  <si>
    <t>END CAP 25x50</t>
  </si>
  <si>
    <t>END CAP 50x100</t>
  </si>
  <si>
    <t>END CAP 40X40</t>
  </si>
  <si>
    <t>END CAP 40X80</t>
  </si>
  <si>
    <t>K111030011</t>
  </si>
  <si>
    <t>ANCHOR BOLT HST M10x120</t>
  </si>
  <si>
    <t>Subtotal 2</t>
  </si>
  <si>
    <t xml:space="preserve">Casters: </t>
  </si>
  <si>
    <t>K106000142</t>
  </si>
  <si>
    <t>100MM LOCKING CASTER, H=133</t>
  </si>
  <si>
    <t>Casters</t>
  </si>
  <si>
    <t>Lagged Tail Drum?</t>
  </si>
  <si>
    <t>5/9/08</t>
  </si>
  <si>
    <t>chgd 5/8/08</t>
  </si>
  <si>
    <t>BODINE CONTROL #790</t>
  </si>
  <si>
    <t>BODINE CONTROL #791</t>
  </si>
  <si>
    <t>Data Entered in:</t>
  </si>
  <si>
    <t>Direct to Customer Price</t>
  </si>
  <si>
    <t>Quote89</t>
  </si>
  <si>
    <t>MOTOR ADAPTER PLATE</t>
  </si>
  <si>
    <t>32B12 SPROCKET, 06B-1</t>
  </si>
  <si>
    <t>32B13 SPROCKET, 06B-1</t>
  </si>
  <si>
    <t>32B14 SPROCKET 06B-1</t>
  </si>
  <si>
    <t>32B16 SPROCKET, 06B-1</t>
  </si>
  <si>
    <t>35B10 SPROCKET, 3/8P</t>
  </si>
  <si>
    <t>35B11 SPROCKET, 3/8P</t>
  </si>
  <si>
    <t>35B12 SPROCKET, 3/8P</t>
  </si>
  <si>
    <t>SPROCKET, 3/8P, 12T, 16MM</t>
  </si>
  <si>
    <t>35B13 SPROCKET, 3/8P</t>
  </si>
  <si>
    <t>35B14 SPROCKET, 3/8P</t>
  </si>
  <si>
    <t>SPROCKET, 35B14 W/THIN HUB</t>
  </si>
  <si>
    <t>35B15 SPROCKET, 3/8P</t>
  </si>
  <si>
    <t>35B15 SPROCKET, 20MM BORE</t>
  </si>
  <si>
    <t>35B16 SPROCKET, 3/8P</t>
  </si>
  <si>
    <t>35B16 SPROCKET, 20MM BORE</t>
  </si>
  <si>
    <t>35B17 SPROCKET, 3/8P</t>
  </si>
  <si>
    <t>17B35 SPROCKET, 20MM BORE</t>
  </si>
  <si>
    <t>35B18 SPROCKET, 3/8P</t>
  </si>
  <si>
    <t>35B18 SPROCKET, 20MM BORE</t>
  </si>
  <si>
    <t>SPROCKET, 35B18 W/THIN HUB</t>
  </si>
  <si>
    <t>35B19 SPROCKET, 3/8P</t>
  </si>
  <si>
    <t>35B19 SPROCKET, 20MM BORE</t>
  </si>
  <si>
    <t>35B20 SPROCKET, 3/8P</t>
  </si>
  <si>
    <t>35B20 FINISHED SPROCKET</t>
  </si>
  <si>
    <t>35B21 SPROCKET, 3/8P</t>
  </si>
  <si>
    <t>35B21 SPROCKET, 20MM BORE</t>
  </si>
  <si>
    <t>35B22 SPROCKET, 3/8P</t>
  </si>
  <si>
    <t>SPROCKET, #35, 22T, 20mm</t>
  </si>
  <si>
    <t>SPROCKET, 22T, 20MM BORE, THIN</t>
  </si>
  <si>
    <t>35B23 SPROCKET, 3/8P</t>
  </si>
  <si>
    <t>35B24 SPROCKET, 3/8P</t>
  </si>
  <si>
    <t>35B25 SPROCKET, 3/8P</t>
  </si>
  <si>
    <t>35B26 SPROCKET, 3/8P</t>
  </si>
  <si>
    <t>35B27 SPROCKET, 3/8P</t>
  </si>
  <si>
    <t>35B28 SPROCKET, 3/8P</t>
  </si>
  <si>
    <t>35B30 SPROCKET, 3/8P</t>
  </si>
  <si>
    <t>35B30 FINISHED SPROCKET</t>
  </si>
  <si>
    <t>35B32 SPROCKET, 3/8P</t>
  </si>
  <si>
    <t>35B35 SPROCKET, 3/8P</t>
  </si>
  <si>
    <t>SHAFT, 10mm h9</t>
  </si>
  <si>
    <t>SHAFT, 12MM H9</t>
  </si>
  <si>
    <t>v</t>
  </si>
  <si>
    <t>m</t>
  </si>
  <si>
    <t>mm</t>
  </si>
  <si>
    <t>kg</t>
  </si>
  <si>
    <r>
      <t>F</t>
    </r>
    <r>
      <rPr>
        <b/>
        <sz val="8"/>
        <rFont val="Arial"/>
        <family val="2"/>
      </rPr>
      <t>R</t>
    </r>
  </si>
  <si>
    <t>N</t>
  </si>
  <si>
    <t>@</t>
  </si>
  <si>
    <t>Fs</t>
  </si>
  <si>
    <t>u</t>
  </si>
  <si>
    <t>P</t>
  </si>
  <si>
    <t>w</t>
  </si>
  <si>
    <r>
      <t>n</t>
    </r>
    <r>
      <rPr>
        <b/>
        <sz val="8"/>
        <rFont val="Arial"/>
        <family val="2"/>
      </rPr>
      <t xml:space="preserve"> AR</t>
    </r>
  </si>
  <si>
    <r>
      <t xml:space="preserve">M </t>
    </r>
    <r>
      <rPr>
        <b/>
        <sz val="8"/>
        <rFont val="Arial"/>
        <family val="2"/>
      </rPr>
      <t>AR</t>
    </r>
  </si>
  <si>
    <t>Nm</t>
  </si>
  <si>
    <t>Drive drum Ø =</t>
  </si>
  <si>
    <t>Overall length =</t>
  </si>
  <si>
    <t>Conveyor speed =</t>
  </si>
  <si>
    <t>Drum efficiency =</t>
  </si>
  <si>
    <t>Safety factor =</t>
  </si>
  <si>
    <t>Total load =</t>
  </si>
  <si>
    <t>Incline angle =</t>
  </si>
  <si>
    <t>Friction =</t>
  </si>
  <si>
    <t>rpm req. at drive roll</t>
  </si>
  <si>
    <t>rpm</t>
  </si>
  <si>
    <t>Force due to friction</t>
  </si>
  <si>
    <t>Force due to incline</t>
  </si>
  <si>
    <t>Total force req.</t>
  </si>
  <si>
    <t>Friction Factors:</t>
  </si>
  <si>
    <t>Standard center drive</t>
  </si>
  <si>
    <t>Standard head drive</t>
  </si>
  <si>
    <t>Center drive w. 1x tail 17</t>
  </si>
  <si>
    <t>Head drive w. tail 17</t>
  </si>
  <si>
    <t>Center drive w. 2x tail 17</t>
  </si>
  <si>
    <t>Gooseneck</t>
  </si>
  <si>
    <t>Head drive w. tension station</t>
  </si>
  <si>
    <t>Center drive w. tension station</t>
  </si>
  <si>
    <t>Chain</t>
  </si>
  <si>
    <t>Rollers</t>
  </si>
  <si>
    <t>rev/min</t>
  </si>
  <si>
    <t>m/min</t>
  </si>
  <si>
    <t>Total power req.</t>
  </si>
  <si>
    <t>lbf</t>
  </si>
  <si>
    <t>Hp</t>
  </si>
  <si>
    <t>Torque required</t>
  </si>
  <si>
    <t>lbf-in</t>
  </si>
  <si>
    <t>Motor efficiency =</t>
  </si>
  <si>
    <t>Belt</t>
  </si>
  <si>
    <t>Belt type:</t>
  </si>
  <si>
    <t>Mass of belt</t>
  </si>
  <si>
    <t>kg/m2</t>
  </si>
  <si>
    <t>Weight of belt</t>
  </si>
  <si>
    <t>Width =</t>
  </si>
  <si>
    <t>°</t>
  </si>
  <si>
    <t>Accum.</t>
  </si>
  <si>
    <t>L</t>
  </si>
  <si>
    <t>Speed:</t>
  </si>
  <si>
    <t>fpm</t>
  </si>
  <si>
    <t>Load:</t>
  </si>
  <si>
    <t>lbs</t>
  </si>
  <si>
    <t>Width:</t>
  </si>
  <si>
    <t>OAL:</t>
  </si>
  <si>
    <t>Drive Drum Ø:</t>
  </si>
  <si>
    <t>Ø</t>
  </si>
  <si>
    <t>Incline Angle:</t>
  </si>
  <si>
    <t>Belt Type:</t>
  </si>
  <si>
    <r>
      <t>kg/m</t>
    </r>
    <r>
      <rPr>
        <b/>
        <vertAlign val="superscript"/>
        <sz val="10"/>
        <color indexed="12"/>
        <rFont val="Arial"/>
        <family val="2"/>
      </rPr>
      <t>2</t>
    </r>
  </si>
  <si>
    <t>Belt Weight:</t>
  </si>
  <si>
    <t>Fu</t>
  </si>
  <si>
    <t>Multiply for drum efficiency</t>
  </si>
  <si>
    <t>Multiply for safety factor</t>
  </si>
  <si>
    <t>Multiply for motor efficiency</t>
  </si>
  <si>
    <t>Motor Power Requirement</t>
  </si>
  <si>
    <t>Torque Requirement</t>
  </si>
  <si>
    <t>Multiply by drum radius</t>
  </si>
  <si>
    <t>Multiply for drum effficiency</t>
  </si>
  <si>
    <t>Force due to accum.</t>
  </si>
  <si>
    <t>Fa</t>
  </si>
  <si>
    <t>Accumulation:</t>
  </si>
  <si>
    <t>Fricton:</t>
  </si>
  <si>
    <t>Y/N</t>
  </si>
  <si>
    <t>Yes</t>
  </si>
  <si>
    <t>No</t>
  </si>
  <si>
    <t>GUF-P 2000 &amp; mini Head Drive</t>
  </si>
  <si>
    <t>Head or Center</t>
  </si>
  <si>
    <t>Head</t>
  </si>
  <si>
    <t>Center</t>
  </si>
  <si>
    <t>Left or Right</t>
  </si>
  <si>
    <t>Left</t>
  </si>
  <si>
    <t>Right</t>
  </si>
  <si>
    <t>Version AU</t>
  </si>
  <si>
    <t>Version AM</t>
  </si>
  <si>
    <t>Constant</t>
  </si>
  <si>
    <t>Variable</t>
  </si>
  <si>
    <t>Preferred Voltage</t>
  </si>
  <si>
    <t>Speed Control Supplied by:</t>
  </si>
  <si>
    <t>N/A</t>
  </si>
  <si>
    <t>Customer</t>
  </si>
  <si>
    <t>mk</t>
  </si>
  <si>
    <t>max bb</t>
  </si>
  <si>
    <t>Lagged Tests</t>
  </si>
  <si>
    <t>Head Drive</t>
  </si>
  <si>
    <t>&gt; 80kg</t>
  </si>
  <si>
    <t>&gt; 30kg</t>
  </si>
  <si>
    <t>Center Drive</t>
  </si>
  <si>
    <t>Tail 17</t>
  </si>
  <si>
    <t>Discount above 20% requires Approval</t>
  </si>
  <si>
    <t>Approved by and Dated</t>
  </si>
  <si>
    <t>06B12 SPROCKET, 16MM BORE</t>
  </si>
  <si>
    <t>06B14 SPROCKET, 20MM BORE</t>
  </si>
  <si>
    <t>06B15 SPROCKET, 20MM BORE</t>
  </si>
  <si>
    <t>06B16 SPROCKET, 20MM BORE</t>
  </si>
  <si>
    <t>06B17 SPROCKET, 20MM BORE</t>
  </si>
  <si>
    <t>06B19 SPROCKET, 20MM BORE</t>
  </si>
  <si>
    <t>06B20 SPROCKET, 20MM BORE</t>
  </si>
  <si>
    <t>06B21 SPROCKET, 20MM BORE</t>
  </si>
  <si>
    <t>06B22 SPROCKET, 20MM BORE</t>
  </si>
  <si>
    <t>06B23 SPROCKET, 20MM BORE</t>
  </si>
  <si>
    <t>06B25 SPROCKET, 20MM BORE</t>
  </si>
  <si>
    <t>06B12 SPROCKET, MPB</t>
  </si>
  <si>
    <t>06B13 SPROCKET, MPB</t>
  </si>
  <si>
    <t>06B14 SPROCKET, MPB</t>
  </si>
  <si>
    <t>06B15 SPROCKET, MPB</t>
  </si>
  <si>
    <t>06B16 SPROCKET, MPB</t>
  </si>
  <si>
    <t>06B17 SPROCKET, MPB</t>
  </si>
  <si>
    <t>06B19 SPROCKET, MPB</t>
  </si>
  <si>
    <t>06B20 SPROCKET, MPB</t>
  </si>
  <si>
    <t>06B21 SPROCKET, MPB</t>
  </si>
  <si>
    <t>06B22 SPROCKET, MPB</t>
  </si>
  <si>
    <t>06B23 SPROCKET, MPB</t>
  </si>
  <si>
    <t>06B25 SPROCKET, MPB</t>
  </si>
  <si>
    <t>K11401</t>
  </si>
  <si>
    <t>06B-1 CHAIN</t>
  </si>
  <si>
    <t>K114010001</t>
  </si>
  <si>
    <t>06B-1 CONNECTING LINK</t>
  </si>
  <si>
    <t>- Standard offset 325 mm</t>
  </si>
  <si>
    <t>Widths</t>
  </si>
  <si>
    <t>Friction</t>
  </si>
  <si>
    <t>Head Version</t>
  </si>
  <si>
    <t>Center Version</t>
  </si>
  <si>
    <t>Speed</t>
  </si>
  <si>
    <t>Voltage</t>
  </si>
  <si>
    <t>Speed Control</t>
  </si>
  <si>
    <t>Tail</t>
  </si>
  <si>
    <t>Accumulation</t>
  </si>
  <si>
    <t>Belt Test</t>
  </si>
  <si>
    <t>Head/Center</t>
  </si>
  <si>
    <t>Pulley</t>
  </si>
  <si>
    <t>Tail Inf.</t>
  </si>
  <si>
    <t>Tail disch.</t>
  </si>
  <si>
    <t>Min Ø</t>
  </si>
  <si>
    <t>Color</t>
  </si>
  <si>
    <t>Green</t>
  </si>
  <si>
    <t>PVC</t>
  </si>
  <si>
    <t>Black</t>
  </si>
  <si>
    <t>White</t>
  </si>
  <si>
    <t>Urethane</t>
  </si>
  <si>
    <t>Polyester</t>
  </si>
  <si>
    <t>E5/2 0/V5</t>
  </si>
  <si>
    <t>NOVO 25 HC</t>
  </si>
  <si>
    <t>Light</t>
  </si>
  <si>
    <t>E3/2 U0/U2</t>
  </si>
  <si>
    <t>E8/2 U0/V20 AR</t>
  </si>
  <si>
    <t>Silicone</t>
  </si>
  <si>
    <t>Belt #</t>
  </si>
  <si>
    <t>Surface</t>
  </si>
  <si>
    <t>Flex</t>
  </si>
  <si>
    <t>Backflex</t>
  </si>
  <si>
    <t>Catalog</t>
  </si>
  <si>
    <t>Properties</t>
  </si>
  <si>
    <t>Min</t>
  </si>
  <si>
    <t>Max</t>
  </si>
  <si>
    <r>
      <t>m</t>
    </r>
    <r>
      <rPr>
        <b/>
        <sz val="12"/>
        <color indexed="10"/>
        <rFont val="Arial"/>
        <family val="2"/>
      </rPr>
      <t>k</t>
    </r>
  </si>
  <si>
    <t>Material</t>
  </si>
  <si>
    <t>Notes:</t>
  </si>
  <si>
    <t>° max.</t>
  </si>
  <si>
    <t>Min. Pulley Ø</t>
  </si>
  <si>
    <t>Price</t>
  </si>
  <si>
    <t>OK ?</t>
  </si>
  <si>
    <t>BF</t>
  </si>
  <si>
    <t>Sum</t>
  </si>
  <si>
    <t>P6Q5</t>
  </si>
  <si>
    <t>Oil / Grease</t>
  </si>
  <si>
    <t>Some</t>
  </si>
  <si>
    <t>Lots</t>
  </si>
  <si>
    <t>P6Q8</t>
  </si>
  <si>
    <t>Q1</t>
  </si>
  <si>
    <t>Q2</t>
  </si>
  <si>
    <t>Q3</t>
  </si>
  <si>
    <t>Q8</t>
  </si>
  <si>
    <t>Q4a</t>
  </si>
  <si>
    <t>Q4min</t>
  </si>
  <si>
    <t>Q4max</t>
  </si>
  <si>
    <t>Q4</t>
  </si>
  <si>
    <t>Q5</t>
  </si>
  <si>
    <t>Q6</t>
  </si>
  <si>
    <t>Q9</t>
  </si>
  <si>
    <t>Q7</t>
  </si>
  <si>
    <t>mpm</t>
  </si>
  <si>
    <t>Rough top</t>
  </si>
  <si>
    <t>Selection</t>
  </si>
  <si>
    <t>Select Belt</t>
  </si>
  <si>
    <t>1x 17</t>
  </si>
  <si>
    <t>2x 17</t>
  </si>
  <si>
    <t>Friction Test</t>
  </si>
  <si>
    <t>Weight</t>
  </si>
  <si>
    <t>Purchase Order</t>
  </si>
  <si>
    <t>Force</t>
  </si>
  <si>
    <t>1%</t>
  </si>
  <si>
    <t>Spec's</t>
  </si>
  <si>
    <t>Torque</t>
  </si>
  <si>
    <t>PROFILE SERVICE 4XM8</t>
  </si>
  <si>
    <t>5100AM</t>
  </si>
  <si>
    <t>PROFILE SERVICE 2XM8</t>
  </si>
  <si>
    <t>5101AB</t>
  </si>
  <si>
    <t>5133BA</t>
  </si>
  <si>
    <t>PROFILE SERVICE</t>
  </si>
  <si>
    <t>5133BB</t>
  </si>
  <si>
    <t>PROFILE SERVICE 1XM12</t>
  </si>
  <si>
    <t>P0Q7</t>
  </si>
  <si>
    <t>SUM</t>
  </si>
  <si>
    <t>Adjustable</t>
  </si>
  <si>
    <t>SF 1.3</t>
  </si>
  <si>
    <t>SF 2.1</t>
  </si>
  <si>
    <t>SF 2.2</t>
  </si>
  <si>
    <t>SF 7.1</t>
  </si>
  <si>
    <t>Rail0</t>
  </si>
  <si>
    <t>SF1.3</t>
  </si>
  <si>
    <t>SF7.1</t>
  </si>
  <si>
    <t>H = 10 - 50 mm</t>
  </si>
  <si>
    <t>Page 7 selection</t>
  </si>
  <si>
    <t>H value</t>
  </si>
  <si>
    <t>test</t>
  </si>
  <si>
    <t>HSF01</t>
  </si>
  <si>
    <t>01</t>
  </si>
  <si>
    <t>11</t>
  </si>
  <si>
    <t>Type:</t>
  </si>
  <si>
    <t>L16</t>
  </si>
  <si>
    <t>L14</t>
  </si>
  <si>
    <t>55.1</t>
  </si>
  <si>
    <t xml:space="preserve">Qty: </t>
  </si>
  <si>
    <t>Recommended stand qty:</t>
  </si>
  <si>
    <t>(mm)</t>
  </si>
  <si>
    <t>Your Width, W</t>
  </si>
  <si>
    <t>Your Length, L:</t>
  </si>
  <si>
    <t>52.5</t>
  </si>
  <si>
    <t>Leveling</t>
  </si>
  <si>
    <t>Telescoping</t>
  </si>
  <si>
    <t>P10Q1</t>
  </si>
  <si>
    <t>in</t>
  </si>
  <si>
    <t>Frame</t>
  </si>
  <si>
    <t>(in)</t>
  </si>
  <si>
    <t>53.1</t>
  </si>
  <si>
    <t>53.11</t>
  </si>
  <si>
    <t>53.12</t>
  </si>
  <si>
    <t>53.2</t>
  </si>
  <si>
    <t>53.21</t>
  </si>
  <si>
    <t>53.22</t>
  </si>
  <si>
    <t>31</t>
  </si>
  <si>
    <t>P11Q2</t>
  </si>
  <si>
    <t>Width</t>
  </si>
  <si>
    <t>Length</t>
  </si>
  <si>
    <t>P0Q1</t>
  </si>
  <si>
    <t>P0Q2</t>
  </si>
  <si>
    <t>Load</t>
  </si>
  <si>
    <t>P0Q3</t>
  </si>
  <si>
    <t>lb</t>
  </si>
  <si>
    <t>P0Q4</t>
  </si>
  <si>
    <t>P0Q5</t>
  </si>
  <si>
    <t>Speed is:</t>
  </si>
  <si>
    <t>P0Q6</t>
  </si>
  <si>
    <t>VAC</t>
  </si>
  <si>
    <t>P0Q8</t>
  </si>
  <si>
    <t>Rails</t>
  </si>
  <si>
    <t>P0Q8a</t>
  </si>
  <si>
    <t>Rail Type</t>
  </si>
  <si>
    <t>P0Q9</t>
  </si>
  <si>
    <t>Stands</t>
  </si>
  <si>
    <t>Contact:</t>
  </si>
  <si>
    <t>Company:</t>
  </si>
  <si>
    <t>Address:</t>
  </si>
  <si>
    <t>Phone:</t>
  </si>
  <si>
    <t>Fax:</t>
  </si>
  <si>
    <t>Email:</t>
  </si>
  <si>
    <t>Quote #:</t>
  </si>
  <si>
    <t>Rep</t>
  </si>
  <si>
    <t>Best regards,</t>
  </si>
  <si>
    <t xml:space="preserve">Phone: </t>
  </si>
  <si>
    <t>As per your request, we are pleased to submit the following proposal.</t>
  </si>
  <si>
    <t>Quantity</t>
  </si>
  <si>
    <t>quote1</t>
  </si>
  <si>
    <t>quote2</t>
  </si>
  <si>
    <t>quote5</t>
  </si>
  <si>
    <t>quote6</t>
  </si>
  <si>
    <t>quote8</t>
  </si>
  <si>
    <t>quote9</t>
  </si>
  <si>
    <t>quote7</t>
  </si>
  <si>
    <t>Type</t>
  </si>
  <si>
    <t>P1Q1</t>
  </si>
  <si>
    <t>P1Q2</t>
  </si>
  <si>
    <t>P2Q1</t>
  </si>
  <si>
    <t>P3Q1</t>
  </si>
  <si>
    <t>Infeed Tail</t>
  </si>
  <si>
    <t>Discharge Tail</t>
  </si>
  <si>
    <t>P4Q1</t>
  </si>
  <si>
    <t>Drive Version:</t>
  </si>
  <si>
    <t>Drive Location:</t>
  </si>
  <si>
    <t>Infeed Tail:</t>
  </si>
  <si>
    <t>Discharge Tail:</t>
  </si>
  <si>
    <t>Overall Length:</t>
  </si>
  <si>
    <t>Belt:</t>
  </si>
  <si>
    <t>48301</t>
  </si>
  <si>
    <t>Belt color</t>
  </si>
  <si>
    <t>quote3</t>
  </si>
  <si>
    <t>46061</t>
  </si>
  <si>
    <t>48302</t>
  </si>
  <si>
    <t>157252</t>
  </si>
  <si>
    <t>Belt material</t>
  </si>
  <si>
    <t>quote4</t>
  </si>
  <si>
    <t>Belt Width:</t>
  </si>
  <si>
    <t>P6Q10</t>
  </si>
  <si>
    <t>Frame Width:</t>
  </si>
  <si>
    <t>Incline</t>
  </si>
  <si>
    <t>P6Q9</t>
  </si>
  <si>
    <t>Speed is</t>
  </si>
  <si>
    <t>Motor:</t>
  </si>
  <si>
    <t>Speed Control:</t>
  </si>
  <si>
    <t>Side Rails:</t>
  </si>
  <si>
    <t>Fixed</t>
  </si>
  <si>
    <t>P7Q1</t>
  </si>
  <si>
    <t>P8Q1</t>
  </si>
  <si>
    <t>System</t>
  </si>
  <si>
    <t>Fixed or Adj. rails</t>
  </si>
  <si>
    <t>Tests</t>
  </si>
  <si>
    <t>Rail System</t>
  </si>
  <si>
    <t>Fixed H</t>
  </si>
  <si>
    <t>L1</t>
  </si>
  <si>
    <t>quote10</t>
  </si>
  <si>
    <t>Stands:</t>
  </si>
  <si>
    <t>Leveling type</t>
  </si>
  <si>
    <t>Leveling quantity</t>
  </si>
  <si>
    <t>Leveling height</t>
  </si>
  <si>
    <t>P10Q2</t>
  </si>
  <si>
    <t>P10Q3</t>
  </si>
  <si>
    <t>quote12</t>
  </si>
  <si>
    <t>quote13</t>
  </si>
  <si>
    <t>Height</t>
  </si>
  <si>
    <t>quote14</t>
  </si>
  <si>
    <t>Casters?</t>
  </si>
  <si>
    <t>13</t>
  </si>
  <si>
    <t>rpm:</t>
  </si>
  <si>
    <t>Motor</t>
  </si>
  <si>
    <t>Output</t>
  </si>
  <si>
    <t>Model</t>
  </si>
  <si>
    <t>Power</t>
  </si>
  <si>
    <t>HP</t>
  </si>
  <si>
    <t>lb-in</t>
  </si>
  <si>
    <t>Our #</t>
  </si>
  <si>
    <t>Vendor #</t>
  </si>
  <si>
    <t>$</t>
  </si>
  <si>
    <t>B91.54.352.0050</t>
  </si>
  <si>
    <t>GUF-P 2000 TAIL 01/50 DRUM</t>
  </si>
  <si>
    <t>B91.54.355.0050</t>
  </si>
  <si>
    <t>GUF-P 2000/50 TAIL 11 DRUM</t>
  </si>
  <si>
    <t>torque</t>
  </si>
  <si>
    <t>P12Q1</t>
  </si>
  <si>
    <t>P12Q2</t>
  </si>
  <si>
    <t>hp</t>
  </si>
  <si>
    <t>P12Q3</t>
  </si>
  <si>
    <t>OK?</t>
  </si>
  <si>
    <t>is</t>
  </si>
  <si>
    <t>V3.07</t>
  </si>
  <si>
    <t>Control</t>
  </si>
  <si>
    <t>speed</t>
  </si>
  <si>
    <t>ratio</t>
  </si>
  <si>
    <t>FDA</t>
  </si>
  <si>
    <t>antistatic</t>
  </si>
  <si>
    <t>incline</t>
  </si>
  <si>
    <t>conductive</t>
  </si>
  <si>
    <t>oil / grease resistance</t>
  </si>
  <si>
    <t>cutting fluid resistance</t>
  </si>
  <si>
    <t>cut resistant</t>
  </si>
  <si>
    <t>accumulation</t>
  </si>
  <si>
    <t>1=AG/BE</t>
  </si>
  <si>
    <t>AM</t>
  </si>
  <si>
    <t>2=Lge Bodine</t>
  </si>
  <si>
    <t>3=SEW</t>
  </si>
  <si>
    <t>quote16</t>
  </si>
  <si>
    <t>09</t>
  </si>
  <si>
    <t>Drive Train</t>
  </si>
  <si>
    <t>AA</t>
  </si>
  <si>
    <t>AC</t>
  </si>
  <si>
    <t>AG</t>
  </si>
  <si>
    <t>AW</t>
  </si>
  <si>
    <t>AU</t>
  </si>
  <si>
    <t>AS</t>
  </si>
  <si>
    <t>BA</t>
  </si>
  <si>
    <t>BC</t>
  </si>
  <si>
    <t>BE</t>
  </si>
  <si>
    <t>BI</t>
  </si>
  <si>
    <t>Support Roll</t>
  </si>
  <si>
    <t>Drum</t>
  </si>
  <si>
    <t>Width, B</t>
  </si>
  <si>
    <t>17</t>
  </si>
  <si>
    <t>19</t>
  </si>
  <si>
    <t>Drive</t>
  </si>
  <si>
    <t>quote18</t>
  </si>
  <si>
    <t>height</t>
  </si>
  <si>
    <t>Y</t>
  </si>
  <si>
    <t xml:space="preserve">Stringer: </t>
  </si>
  <si>
    <t>Profile</t>
  </si>
  <si>
    <t>FRAME</t>
  </si>
  <si>
    <t>CONVEYOR TYPE</t>
  </si>
  <si>
    <t>DRIVE VERSION</t>
  </si>
  <si>
    <t>TAILS</t>
  </si>
  <si>
    <t>BELT</t>
  </si>
  <si>
    <t>SPEED</t>
  </si>
  <si>
    <t>LOAD</t>
  </si>
  <si>
    <t>RAILS</t>
  </si>
  <si>
    <t>Quote Text</t>
  </si>
  <si>
    <t>MOTOR</t>
  </si>
  <si>
    <t>STANDS</t>
  </si>
  <si>
    <t>Mtg. Angles</t>
  </si>
  <si>
    <t>P10Q8</t>
  </si>
  <si>
    <t>Stringer</t>
  </si>
  <si>
    <t>quote19</t>
  </si>
  <si>
    <t>P10Q9</t>
  </si>
  <si>
    <t>FloorMounting</t>
  </si>
  <si>
    <t>quote20</t>
  </si>
  <si>
    <t>Floor Mounting</t>
  </si>
  <si>
    <t xml:space="preserve">Floor Mounting Brackets: </t>
  </si>
  <si>
    <t>Stringers?</t>
  </si>
  <si>
    <t>Floor Mounting?</t>
  </si>
  <si>
    <t>HxW</t>
  </si>
  <si>
    <t>Rail System 1.3</t>
  </si>
  <si>
    <t>HxL</t>
  </si>
  <si>
    <t>ft-in</t>
  </si>
  <si>
    <t>ft</t>
  </si>
  <si>
    <t>PIW</t>
  </si>
  <si>
    <t>w. 9.5'</t>
  </si>
  <si>
    <t>quote21</t>
  </si>
  <si>
    <t>Disc.</t>
  </si>
  <si>
    <t>Cost</t>
  </si>
  <si>
    <t>List</t>
  </si>
  <si>
    <t>Markup</t>
  </si>
  <si>
    <t>Splice</t>
  </si>
  <si>
    <t>Sub Tot.</t>
  </si>
  <si>
    <t>/ ea</t>
  </si>
  <si>
    <t>Support Rolls</t>
  </si>
  <si>
    <t>quote22</t>
  </si>
  <si>
    <t>quote23</t>
  </si>
  <si>
    <t>Support Roll material</t>
  </si>
  <si>
    <r>
      <t>Ø</t>
    </r>
    <r>
      <rPr>
        <b/>
        <sz val="10"/>
        <color indexed="9"/>
        <rFont val="Arial"/>
        <family val="2"/>
      </rPr>
      <t>40
Drum</t>
    </r>
  </si>
  <si>
    <t>Steel</t>
  </si>
  <si>
    <t>Plastic</t>
  </si>
  <si>
    <t>quote24</t>
  </si>
  <si>
    <t>CONTROLLER</t>
  </si>
  <si>
    <t>quote26</t>
  </si>
  <si>
    <t>Incline:</t>
  </si>
  <si>
    <t>Drive Drum:</t>
  </si>
  <si>
    <t>Support Rolls:</t>
  </si>
  <si>
    <t>Voltage:</t>
  </si>
  <si>
    <t>quote28</t>
  </si>
  <si>
    <t># Uprights</t>
  </si>
  <si>
    <t>Input</t>
  </si>
  <si>
    <t>115 VAC</t>
  </si>
  <si>
    <t>130 VDC</t>
  </si>
  <si>
    <t>x</t>
  </si>
  <si>
    <t>s</t>
  </si>
  <si>
    <t>r</t>
  </si>
  <si>
    <t>Stand system</t>
  </si>
  <si>
    <t>quantity</t>
  </si>
  <si>
    <t>floor mounting</t>
  </si>
  <si>
    <t>stringers</t>
  </si>
  <si>
    <t>plates</t>
  </si>
  <si>
    <t>Uprights</t>
  </si>
  <si>
    <t>quote32</t>
  </si>
  <si>
    <t>Eff. Width</t>
  </si>
  <si>
    <t>Effective Width</t>
  </si>
  <si>
    <t>quote34</t>
  </si>
  <si>
    <t>Test</t>
  </si>
  <si>
    <t>Lane Width</t>
  </si>
  <si>
    <t>quote35</t>
  </si>
  <si>
    <t>This software is designed to be used for budgetary pricing information only.</t>
  </si>
  <si>
    <t>46046</t>
  </si>
  <si>
    <t>Spare Parts (added 3/26/10)</t>
  </si>
  <si>
    <t>Item</t>
  </si>
  <si>
    <t>#</t>
  </si>
  <si>
    <t>Net Price</t>
  </si>
  <si>
    <t>Multiple</t>
  </si>
  <si>
    <t>List Price</t>
  </si>
  <si>
    <t>B91.94.352</t>
  </si>
  <si>
    <t>B91.94.352.0050</t>
  </si>
  <si>
    <t>B91.94.352.0100</t>
  </si>
  <si>
    <t>B91.94.352.0150</t>
  </si>
  <si>
    <t>B91.94.352.0200</t>
  </si>
  <si>
    <t>B91.94.352.0250</t>
  </si>
  <si>
    <t>B91.94.352.0300</t>
  </si>
  <si>
    <t>B91.94.352.0400</t>
  </si>
  <si>
    <t>B91.94.352.0500</t>
  </si>
  <si>
    <t>GUF-P 2000 TAIL 19/50 DRUM</t>
  </si>
  <si>
    <t>GUF-P 2000 TAIL 19/100 DRUM</t>
  </si>
  <si>
    <t>GUF-P 2000 TAIL 19/150 DRUM</t>
  </si>
  <si>
    <t>GUF-P 2000 TAIL 19/200 DRUM</t>
  </si>
  <si>
    <t>GUF-P 2000 TAIL 19/250 DRUM</t>
  </si>
  <si>
    <t>GUF-P 2000 TAIL 19/300 DRUM</t>
  </si>
  <si>
    <t>GUF-P 2000 TAIL 19/400 DRUM</t>
  </si>
  <si>
    <t>GUF-P 2000 TAIL 19/500 DRUM</t>
  </si>
  <si>
    <t>AU Above or Below</t>
  </si>
  <si>
    <t>Above</t>
  </si>
  <si>
    <t>Below</t>
  </si>
  <si>
    <t>quote104</t>
  </si>
  <si>
    <t>if AU above</t>
  </si>
  <si>
    <t>v3.22</t>
  </si>
  <si>
    <t>Profile at AU</t>
  </si>
  <si>
    <t>Inverter</t>
  </si>
  <si>
    <t>Head drive w. tail 13</t>
  </si>
  <si>
    <t>Center drive w. 1x tail 13</t>
  </si>
  <si>
    <t>Center drive w. 2x tail 13</t>
  </si>
  <si>
    <t>T17</t>
  </si>
  <si>
    <t>●  Conveyors are shipped via best way truck (freight charges prepaid and added)</t>
  </si>
  <si>
    <t xml:space="preserve">    unless otherwise specified by the customer on the Purchase Order.</t>
  </si>
  <si>
    <t>●  Conveyors are shipped assembled, in most compact position, unless otherwise specified.</t>
  </si>
  <si>
    <t>General Shipping Terms and Conditions</t>
  </si>
  <si>
    <t>●  Approval drawings may be required or requested.</t>
  </si>
  <si>
    <t>General Notes</t>
  </si>
  <si>
    <t>All rights reserved.</t>
  </si>
  <si>
    <t>Notice</t>
  </si>
  <si>
    <t>Price Incr.</t>
  </si>
  <si>
    <t>Base</t>
  </si>
  <si>
    <t>RPM</t>
  </si>
  <si>
    <t>MIN - Head/Constant</t>
  </si>
  <si>
    <t>MAX - Head/Constant</t>
  </si>
  <si>
    <t>-33%</t>
  </si>
  <si>
    <t>MIN - Head/Variable</t>
  </si>
  <si>
    <t>MAX - Head/Variable</t>
  </si>
  <si>
    <t>+20%</t>
  </si>
  <si>
    <t>Per</t>
  </si>
  <si>
    <t>EA</t>
  </si>
  <si>
    <t>M</t>
  </si>
  <si>
    <t>MIN - Center/Constant</t>
  </si>
  <si>
    <t>MAX - Center/Constant</t>
  </si>
  <si>
    <t>MIN - Center/Variable</t>
  </si>
  <si>
    <t>MAX - Center/Variable</t>
  </si>
  <si>
    <t>MIN</t>
  </si>
  <si>
    <t>MAX</t>
  </si>
  <si>
    <t>quote42</t>
  </si>
  <si>
    <t>quote43</t>
  </si>
  <si>
    <t>Min L</t>
  </si>
  <si>
    <t>min L = 310 mm</t>
  </si>
  <si>
    <t>(6/10/2008)
If version AS and Bodine/
Baldor Motor Spacer, 
need console rework.</t>
  </si>
  <si>
    <t>quote105</t>
  </si>
  <si>
    <t>min L = 670 mm</t>
  </si>
  <si>
    <t>- Motor outside of frame</t>
  </si>
  <si>
    <t>Discount Given</t>
  </si>
  <si>
    <t>Net to Customer</t>
  </si>
  <si>
    <t>quote44</t>
  </si>
  <si>
    <t>quote45</t>
  </si>
  <si>
    <t>quote46</t>
  </si>
  <si>
    <t>Require</t>
  </si>
  <si>
    <t>Customer:</t>
  </si>
  <si>
    <t>accum?</t>
  </si>
  <si>
    <r>
      <t>Does belt need to be</t>
    </r>
    <r>
      <rPr>
        <sz val="12"/>
        <rFont val="Arial"/>
        <family val="2"/>
      </rPr>
      <t xml:space="preserve"> antistatic:</t>
    </r>
  </si>
  <si>
    <r>
      <t>Does the belt need to be</t>
    </r>
    <r>
      <rPr>
        <sz val="12"/>
        <rFont val="Arial"/>
        <family val="2"/>
      </rPr>
      <t xml:space="preserve"> highly conductive?</t>
    </r>
  </si>
  <si>
    <t>PVC, Hard</t>
  </si>
  <si>
    <t>PVC, Soft</t>
  </si>
  <si>
    <r>
      <t>Does belt need to be</t>
    </r>
    <r>
      <rPr>
        <sz val="12"/>
        <rFont val="Arial"/>
        <family val="2"/>
      </rPr>
      <t xml:space="preserve"> FDA suitable:</t>
    </r>
  </si>
  <si>
    <r>
      <t>Is the product temp.</t>
    </r>
    <r>
      <rPr>
        <sz val="12"/>
        <rFont val="Arial"/>
        <family val="2"/>
      </rPr>
      <t xml:space="preserve"> above </t>
    </r>
    <r>
      <rPr>
        <b/>
        <sz val="12"/>
        <color indexed="10"/>
        <rFont val="Arial"/>
        <family val="2"/>
      </rPr>
      <t>140</t>
    </r>
    <r>
      <rPr>
        <sz val="12"/>
        <rFont val="Arial"/>
        <family val="2"/>
      </rPr>
      <t>° F:</t>
    </r>
  </si>
  <si>
    <r>
      <t>Does the belt need</t>
    </r>
    <r>
      <rPr>
        <sz val="12"/>
        <rFont val="Arial"/>
        <family val="2"/>
      </rPr>
      <t xml:space="preserve"> oil/grease resistance?</t>
    </r>
  </si>
  <si>
    <r>
      <t>Does the belt need</t>
    </r>
    <r>
      <rPr>
        <sz val="12"/>
        <rFont val="Arial"/>
        <family val="2"/>
      </rPr>
      <t xml:space="preserve"> cutting fluid resistance?</t>
    </r>
  </si>
  <si>
    <r>
      <t xml:space="preserve">Are the </t>
    </r>
    <r>
      <rPr>
        <sz val="12"/>
        <rFont val="Arial"/>
        <family val="2"/>
      </rPr>
      <t>products sharp?</t>
    </r>
  </si>
  <si>
    <r>
      <t xml:space="preserve">If yes, enter </t>
    </r>
    <r>
      <rPr>
        <sz val="12"/>
        <rFont val="Arial"/>
        <family val="2"/>
      </rPr>
      <t>maximum temperature</t>
    </r>
    <r>
      <rPr>
        <sz val="10"/>
        <rFont val="Arial"/>
        <family val="2"/>
      </rPr>
      <t>:</t>
    </r>
  </si>
  <si>
    <t>B01.00.050</t>
  </si>
  <si>
    <t>Motor
Stock</t>
  </si>
  <si>
    <t>Motor Stock</t>
  </si>
  <si>
    <t>quote86</t>
  </si>
  <si>
    <t>Notes*:</t>
  </si>
  <si>
    <t>* Alt-Enter for carriage return</t>
  </si>
  <si>
    <t>List_Price</t>
  </si>
  <si>
    <t>Customer Information</t>
  </si>
  <si>
    <t>Quote signed by:</t>
  </si>
  <si>
    <t>PRICING TESTS</t>
  </si>
  <si>
    <t>Distributor - Domestic</t>
  </si>
  <si>
    <t>Distributor - International</t>
  </si>
  <si>
    <t>Quote87</t>
  </si>
  <si>
    <r>
      <t xml:space="preserve">Head Drive </t>
    </r>
    <r>
      <rPr>
        <i/>
        <sz val="10"/>
        <rFont val="Arial"/>
        <family val="2"/>
      </rPr>
      <t>or</t>
    </r>
    <r>
      <rPr>
        <sz val="12"/>
        <rFont val="Arial"/>
        <family val="2"/>
      </rPr>
      <t xml:space="preserve"> Center Drive</t>
    </r>
  </si>
  <si>
    <r>
      <t>Drive location</t>
    </r>
    <r>
      <rPr>
        <sz val="12"/>
        <rFont val="Arial"/>
        <family val="2"/>
      </rPr>
      <t xml:space="preserve"> Left </t>
    </r>
    <r>
      <rPr>
        <i/>
        <sz val="10"/>
        <rFont val="Arial"/>
        <family val="2"/>
      </rPr>
      <t>or</t>
    </r>
    <r>
      <rPr>
        <sz val="12"/>
        <rFont val="Arial"/>
        <family val="2"/>
      </rPr>
      <t xml:space="preserve"> Right</t>
    </r>
  </si>
  <si>
    <t>(relative to belt travel direction)</t>
  </si>
  <si>
    <t>MOTOR TEST</t>
  </si>
  <si>
    <t>Message 1 (AG)</t>
  </si>
  <si>
    <t>Message 2 (BE)</t>
  </si>
  <si>
    <t>Message 3</t>
  </si>
  <si>
    <t>Error Text</t>
  </si>
  <si>
    <t>Condition:</t>
  </si>
  <si>
    <t>AG?</t>
  </si>
  <si>
    <t>5/7 was .65</t>
  </si>
  <si>
    <t>BE?</t>
  </si>
  <si>
    <t>quote47</t>
  </si>
  <si>
    <t>K10206</t>
  </si>
  <si>
    <t>K10214</t>
  </si>
  <si>
    <t>K10207</t>
  </si>
  <si>
    <t>K10202</t>
  </si>
  <si>
    <t>Equivalent</t>
  </si>
  <si>
    <t>Felt-like</t>
  </si>
  <si>
    <t>Belt cost PIW</t>
  </si>
  <si>
    <t>1.</t>
  </si>
  <si>
    <t>or mm:</t>
  </si>
  <si>
    <t>2.</t>
  </si>
  <si>
    <t>3.</t>
  </si>
  <si>
    <t>4.</t>
  </si>
  <si>
    <t>5.</t>
  </si>
  <si>
    <t>6.</t>
  </si>
  <si>
    <t>(fpm)</t>
  </si>
  <si>
    <t>7.</t>
  </si>
  <si>
    <t>8.</t>
  </si>
  <si>
    <t>9.</t>
  </si>
  <si>
    <t>10.</t>
  </si>
  <si>
    <t>(lbs)</t>
  </si>
  <si>
    <r>
      <t>Enter</t>
    </r>
    <r>
      <rPr>
        <sz val="12"/>
        <rFont val="Arial"/>
        <family val="2"/>
      </rPr>
      <t xml:space="preserve"> Overall Length:</t>
    </r>
  </si>
  <si>
    <r>
      <t xml:space="preserve">Enter conveyor </t>
    </r>
    <r>
      <rPr>
        <sz val="12"/>
        <rFont val="Arial"/>
        <family val="2"/>
      </rPr>
      <t>incline angle</t>
    </r>
    <r>
      <rPr>
        <sz val="10"/>
        <rFont val="Arial"/>
        <family val="2"/>
      </rPr>
      <t xml:space="preserve"> (if any):</t>
    </r>
  </si>
  <si>
    <r>
      <t>Are</t>
    </r>
    <r>
      <rPr>
        <sz val="12"/>
        <rFont val="Arial"/>
        <family val="2"/>
      </rPr>
      <t xml:space="preserve"> Rails </t>
    </r>
    <r>
      <rPr>
        <sz val="10"/>
        <rFont val="Arial"/>
        <family val="2"/>
      </rPr>
      <t>required?</t>
    </r>
  </si>
  <si>
    <r>
      <t xml:space="preserve">Are </t>
    </r>
    <r>
      <rPr>
        <sz val="12"/>
        <rFont val="Arial"/>
        <family val="2"/>
      </rPr>
      <t>Stands</t>
    </r>
    <r>
      <rPr>
        <sz val="10"/>
        <rFont val="Arial"/>
        <family val="2"/>
      </rPr>
      <t xml:space="preserve"> required?</t>
    </r>
  </si>
  <si>
    <r>
      <t xml:space="preserve">Is speed </t>
    </r>
    <r>
      <rPr>
        <sz val="12"/>
        <rFont val="Arial"/>
        <family val="2"/>
      </rPr>
      <t xml:space="preserve">Constant </t>
    </r>
    <r>
      <rPr>
        <sz val="10"/>
        <rFont val="Arial"/>
        <family val="2"/>
      </rPr>
      <t>or</t>
    </r>
    <r>
      <rPr>
        <sz val="12"/>
        <rFont val="Arial"/>
        <family val="2"/>
      </rPr>
      <t xml:space="preserve"> Variable:</t>
    </r>
  </si>
  <si>
    <r>
      <t>Speed Control</t>
    </r>
    <r>
      <rPr>
        <sz val="10"/>
        <rFont val="Arial"/>
        <family val="2"/>
      </rPr>
      <t xml:space="preserve"> Supplied by</t>
    </r>
    <r>
      <rPr>
        <sz val="12"/>
        <rFont val="Arial"/>
        <family val="2"/>
      </rPr>
      <t>:</t>
    </r>
  </si>
  <si>
    <r>
      <t>Enter</t>
    </r>
    <r>
      <rPr>
        <sz val="12"/>
        <rFont val="Arial"/>
        <family val="2"/>
      </rPr>
      <t xml:space="preserve"> Total Load</t>
    </r>
    <r>
      <rPr>
        <sz val="10"/>
        <rFont val="Arial"/>
        <family val="2"/>
      </rPr>
      <t xml:space="preserve"> of product:</t>
    </r>
  </si>
  <si>
    <r>
      <t xml:space="preserve">Will the product ever </t>
    </r>
    <r>
      <rPr>
        <sz val="12"/>
        <rFont val="Arial"/>
        <family val="2"/>
      </rPr>
      <t>Accumulate?</t>
    </r>
  </si>
  <si>
    <t>Yes or No</t>
  </si>
  <si>
    <r>
      <t>Select</t>
    </r>
    <r>
      <rPr>
        <sz val="12"/>
        <rFont val="Arial"/>
        <family val="2"/>
      </rPr>
      <t xml:space="preserve"> Drive Version:</t>
    </r>
  </si>
  <si>
    <t>P31.10.146</t>
  </si>
  <si>
    <t>P31.10.147</t>
  </si>
  <si>
    <t>Qty</t>
  </si>
  <si>
    <t>Ident #</t>
  </si>
  <si>
    <t>Description</t>
  </si>
  <si>
    <t>Frame Slider</t>
  </si>
  <si>
    <t>Hardware</t>
  </si>
  <si>
    <t>Heavy</t>
  </si>
  <si>
    <t>1B.AC1</t>
  </si>
  <si>
    <t>1B.AC2</t>
  </si>
  <si>
    <t>1B.AC3</t>
  </si>
  <si>
    <t>1B.AC4</t>
  </si>
  <si>
    <t># Shafts</t>
  </si>
  <si>
    <t>BB</t>
  </si>
  <si>
    <t>1B.AG3</t>
  </si>
  <si>
    <t>1B.AG4</t>
  </si>
  <si>
    <t>BOM</t>
  </si>
  <si>
    <t>Lagged</t>
  </si>
  <si>
    <t>1B.AG1</t>
  </si>
  <si>
    <t>1B.AG2</t>
  </si>
  <si>
    <t>Ver.</t>
  </si>
  <si>
    <t>L/R</t>
  </si>
  <si>
    <t>1B.AM1</t>
  </si>
  <si>
    <t>1B.AM2</t>
  </si>
  <si>
    <t>1B.AS1</t>
  </si>
  <si>
    <t>1B.AS2</t>
  </si>
  <si>
    <t>1B.AU1</t>
  </si>
  <si>
    <t>3.75"</t>
  </si>
  <si>
    <t>Bodine</t>
  </si>
  <si>
    <t>min</t>
  </si>
  <si>
    <t>max</t>
  </si>
  <si>
    <t>max #</t>
  </si>
  <si>
    <t>shafts</t>
  </si>
  <si>
    <t>Plate</t>
  </si>
  <si>
    <t>Adapter</t>
  </si>
  <si>
    <t>P50.10.001</t>
  </si>
  <si>
    <t>Capacitor</t>
  </si>
  <si>
    <t>Terminal</t>
  </si>
  <si>
    <t>Box</t>
  </si>
  <si>
    <t>P50.10.002</t>
  </si>
  <si>
    <t>MOTOR FOR BOM</t>
  </si>
  <si>
    <t>Cord</t>
  </si>
  <si>
    <t>T. Box</t>
  </si>
  <si>
    <t>3.75" Bodine?</t>
  </si>
  <si>
    <t>quote48</t>
  </si>
  <si>
    <t>quote49</t>
  </si>
  <si>
    <t>quote50</t>
  </si>
  <si>
    <t>quote51</t>
  </si>
  <si>
    <t>Manuf.</t>
  </si>
  <si>
    <t>SEW</t>
  </si>
  <si>
    <t>Motor Mfg.</t>
  </si>
  <si>
    <t>quote52</t>
  </si>
  <si>
    <t>1B.AW1</t>
  </si>
  <si>
    <t>1B.AW2</t>
  </si>
  <si>
    <t>1B.AW3</t>
  </si>
  <si>
    <t>1B.AW4</t>
  </si>
  <si>
    <t>SS</t>
  </si>
  <si>
    <t>V</t>
  </si>
  <si>
    <t>1B.BA1</t>
  </si>
  <si>
    <t>1B.BC1</t>
  </si>
  <si>
    <t>1B.BE1</t>
  </si>
  <si>
    <t>1B.BI1</t>
  </si>
  <si>
    <t>May switch BE to BC if 3.75" problem</t>
  </si>
  <si>
    <t>DRIVE</t>
  </si>
  <si>
    <t># of</t>
  </si>
  <si>
    <t>8302SC0082</t>
  </si>
  <si>
    <t>8302CD0082</t>
  </si>
  <si>
    <t>8302SE0104</t>
  </si>
  <si>
    <t>B91.14.354</t>
  </si>
  <si>
    <t>8302CS0104</t>
  </si>
  <si>
    <t>Drum Option</t>
  </si>
  <si>
    <t>DRIVE DRUM FOR BOM</t>
  </si>
  <si>
    <t>Head Drive &lt;&gt; AW</t>
  </si>
  <si>
    <t>Head Drive = AW</t>
  </si>
  <si>
    <t>1B.AC5</t>
  </si>
  <si>
    <t>1B.AC6</t>
  </si>
  <si>
    <t>1B.AC7</t>
  </si>
  <si>
    <t>1B.AC8</t>
  </si>
  <si>
    <t>1B.AM5</t>
  </si>
  <si>
    <t>1B.AM6</t>
  </si>
  <si>
    <t>1B.AW5</t>
  </si>
  <si>
    <t>1B.AW6</t>
  </si>
  <si>
    <t>1B.AW7</t>
  </si>
  <si>
    <t>1B.AW8</t>
  </si>
  <si>
    <t>1B.BA5</t>
  </si>
  <si>
    <t>1B.BC</t>
  </si>
  <si>
    <t>1B.BC5</t>
  </si>
  <si>
    <t>1B.BE5</t>
  </si>
  <si>
    <t>1B.BC.0050</t>
  </si>
  <si>
    <t>1B.BC.0100</t>
  </si>
  <si>
    <t>1B.BC.0150</t>
  </si>
  <si>
    <t>1B.BC.0200</t>
  </si>
  <si>
    <t>1B.BC.0250</t>
  </si>
  <si>
    <t>1B.BC.0300</t>
  </si>
  <si>
    <t>1B.BC.0400</t>
  </si>
  <si>
    <t>1B.BC.0500</t>
  </si>
  <si>
    <t>1B.BC.0600</t>
  </si>
  <si>
    <t>1B.BC.0700</t>
  </si>
  <si>
    <t>1B.BC.0800</t>
  </si>
  <si>
    <t>Center Drive, 62mm, 1 Output Shaft</t>
  </si>
  <si>
    <t>Center Drive, 62mm, 0 Output Shaft</t>
  </si>
  <si>
    <t>Center Drive, 88mm, 1 Output Shaft</t>
  </si>
  <si>
    <t>Tbox</t>
  </si>
  <si>
    <t>Location</t>
  </si>
  <si>
    <t>Cable Entry</t>
  </si>
  <si>
    <t>Center Drive, 88mm, 0 Output Shaft</t>
  </si>
  <si>
    <t>quote53</t>
  </si>
  <si>
    <t>Opt.</t>
  </si>
  <si>
    <t>DRIVE DRUM</t>
  </si>
  <si>
    <t>8302SY0074</t>
  </si>
  <si>
    <t>8302CV0074</t>
  </si>
  <si>
    <t>8302CV0124</t>
  </si>
  <si>
    <t>8302CV0174</t>
  </si>
  <si>
    <t>8302CV0224</t>
  </si>
  <si>
    <t>8302CV0274</t>
  </si>
  <si>
    <t>8302CV0324</t>
  </si>
  <si>
    <t>8302CV0424</t>
  </si>
  <si>
    <t>8302CV0524</t>
  </si>
  <si>
    <t>8302CV0624</t>
  </si>
  <si>
    <t>8302CV0724</t>
  </si>
  <si>
    <t>8302CV0824</t>
  </si>
  <si>
    <t>8302SJ0082</t>
  </si>
  <si>
    <t>B91.34.400</t>
  </si>
  <si>
    <t>8302CF0082</t>
  </si>
  <si>
    <t>8302SL0103</t>
  </si>
  <si>
    <t>8302CN0103</t>
  </si>
  <si>
    <t>8302SH0082</t>
  </si>
  <si>
    <t>8302CI0082</t>
  </si>
  <si>
    <t>8302SK0103</t>
  </si>
  <si>
    <t>8302CL0103</t>
  </si>
  <si>
    <t>2B.19B</t>
  </si>
  <si>
    <t>OAL</t>
  </si>
  <si>
    <t>2B.01A</t>
  </si>
  <si>
    <t>2B.01B</t>
  </si>
  <si>
    <t>2B.01C</t>
  </si>
  <si>
    <t>2B.11B</t>
  </si>
  <si>
    <t>2B.09B</t>
  </si>
  <si>
    <t>2B.13B</t>
  </si>
  <si>
    <t>2B.13C</t>
  </si>
  <si>
    <t>2B.17B</t>
  </si>
  <si>
    <t>2B.19C</t>
  </si>
  <si>
    <t>8302CX0104</t>
  </si>
  <si>
    <t># cpt?</t>
  </si>
  <si>
    <t>Lookup</t>
  </si>
  <si>
    <t>B91.14.350</t>
  </si>
  <si>
    <t>B91.13.350</t>
  </si>
  <si>
    <t>B91.13.352</t>
  </si>
  <si>
    <t>B91.33.400</t>
  </si>
  <si>
    <t>B91.14.400</t>
  </si>
  <si>
    <t>B91.13.400</t>
  </si>
  <si>
    <t>B91.34.550</t>
  </si>
  <si>
    <t>B91.33.550</t>
  </si>
  <si>
    <t>B91.14.550</t>
  </si>
  <si>
    <t>B91.13.550</t>
  </si>
  <si>
    <t>B91.54.352</t>
  </si>
  <si>
    <t>B91.54.355</t>
  </si>
  <si>
    <t>2B.13</t>
  </si>
  <si>
    <t>2B.17</t>
  </si>
  <si>
    <t>Deduct</t>
  </si>
  <si>
    <t>Slider</t>
  </si>
  <si>
    <t>Conveyor Type</t>
  </si>
  <si>
    <t>Drive Version</t>
  </si>
  <si>
    <t>Drive Location</t>
  </si>
  <si>
    <t>? Stainless Drums</t>
  </si>
  <si>
    <t>? V-Guided Drums</t>
  </si>
  <si>
    <t>CONVEYOR</t>
  </si>
  <si>
    <t>Heavy Plate for AC?</t>
  </si>
  <si>
    <t>Lagged Drive Drum?</t>
  </si>
  <si>
    <t>3.75" Bodine Motor?</t>
  </si>
  <si>
    <t># of Drive Shafts?</t>
  </si>
  <si>
    <t>Steel Drive Drum?</t>
  </si>
  <si>
    <t>Indeed Tail</t>
  </si>
  <si>
    <t>Tail - Infeed</t>
  </si>
  <si>
    <t>Drum - Infeed</t>
  </si>
  <si>
    <t>Tail Ver.</t>
  </si>
  <si>
    <t>Tail - Discharge</t>
  </si>
  <si>
    <t>Drum - Discharge</t>
  </si>
  <si>
    <t>51.00.</t>
  </si>
  <si>
    <t>51.04.</t>
  </si>
  <si>
    <t>51.07.</t>
  </si>
  <si>
    <t>Prof.</t>
  </si>
  <si>
    <t>Frame Profiles</t>
  </si>
  <si>
    <t>Frame Spacers</t>
  </si>
  <si>
    <t>Other</t>
  </si>
  <si>
    <t>P57.01.050</t>
  </si>
  <si>
    <t>P57.01.100</t>
  </si>
  <si>
    <t>P57.01.150</t>
  </si>
  <si>
    <t>P57.01.200</t>
  </si>
  <si>
    <t>P57.01.250</t>
  </si>
  <si>
    <t>P57.01.300</t>
  </si>
  <si>
    <t>P57.01.400</t>
  </si>
  <si>
    <t>P57.01.500</t>
  </si>
  <si>
    <t>P57.01.600</t>
  </si>
  <si>
    <t>P57.01.700</t>
  </si>
  <si>
    <t>P57.01.800</t>
  </si>
  <si>
    <t>Qty.</t>
  </si>
  <si>
    <t>Profile Qty.</t>
  </si>
  <si>
    <t>Profile Deduct</t>
  </si>
  <si>
    <t>Slider Deduct</t>
  </si>
  <si>
    <t>Profile Length</t>
  </si>
  <si>
    <t>Slider Length</t>
  </si>
  <si>
    <t>500228</t>
  </si>
  <si>
    <t>Blue-Green</t>
  </si>
  <si>
    <t>9B.SR</t>
  </si>
  <si>
    <t>quote54</t>
  </si>
  <si>
    <t>14.04.0001</t>
  </si>
  <si>
    <t>Qty Uprights</t>
  </si>
  <si>
    <t>RailQuantity</t>
  </si>
  <si>
    <t>P7Q6</t>
  </si>
  <si>
    <t>H</t>
  </si>
  <si>
    <t>26.00.0015</t>
  </si>
  <si>
    <t>26.00.0016</t>
  </si>
  <si>
    <t>52.36.</t>
  </si>
  <si>
    <t>52.37.</t>
  </si>
  <si>
    <t>52.35.</t>
  </si>
  <si>
    <t>L2 =</t>
  </si>
  <si>
    <t>L1 =</t>
  </si>
  <si>
    <t>Infeed</t>
  </si>
  <si>
    <t>Short</t>
  </si>
  <si>
    <t>Long</t>
  </si>
  <si>
    <t>L1, L2</t>
  </si>
  <si>
    <t>Infeed:</t>
  </si>
  <si>
    <t>Discharge:</t>
  </si>
  <si>
    <t>quote59</t>
  </si>
  <si>
    <t>L to crowns</t>
  </si>
  <si>
    <t>quote61</t>
  </si>
  <si>
    <t>Discharge</t>
  </si>
  <si>
    <t>B17.00.004</t>
  </si>
  <si>
    <t>B17.00.005</t>
  </si>
  <si>
    <t>B17.00.025</t>
  </si>
  <si>
    <t>Discharge Option</t>
  </si>
  <si>
    <t>quote62</t>
  </si>
  <si>
    <t>Long?</t>
  </si>
  <si>
    <t>quote63</t>
  </si>
  <si>
    <t>quote64</t>
  </si>
  <si>
    <t>Metal</t>
  </si>
  <si>
    <t>34.11.0002</t>
  </si>
  <si>
    <t>Clamp 1</t>
  </si>
  <si>
    <t>Clamp 2</t>
  </si>
  <si>
    <t>30.00.0001</t>
  </si>
  <si>
    <t>K114011012</t>
  </si>
  <si>
    <t>K114011013</t>
  </si>
  <si>
    <t>K114011014</t>
  </si>
  <si>
    <t>K114011015</t>
  </si>
  <si>
    <t>K114011016</t>
  </si>
  <si>
    <t>K114011017</t>
  </si>
  <si>
    <t>K114011019</t>
  </si>
  <si>
    <t>K114011020</t>
  </si>
  <si>
    <t>K114011021</t>
  </si>
  <si>
    <t>K114011025</t>
  </si>
  <si>
    <t>K114011023</t>
  </si>
  <si>
    <t>58.11.0033</t>
  </si>
  <si>
    <t>58.11.0034</t>
  </si>
  <si>
    <t>58.11.0088</t>
  </si>
  <si>
    <t>58.11.0035</t>
  </si>
  <si>
    <t>58.11.0036</t>
  </si>
  <si>
    <t>58.11.0049</t>
  </si>
  <si>
    <t>58.11.0037</t>
  </si>
  <si>
    <t>58.11.0038</t>
  </si>
  <si>
    <t>58.11.0039</t>
  </si>
  <si>
    <t>58.11.0086</t>
  </si>
  <si>
    <t>K114011022</t>
  </si>
  <si>
    <t># Teeth</t>
  </si>
  <si>
    <t>Sprocket Ratio shown results in:</t>
  </si>
  <si>
    <t>P72.01.012</t>
  </si>
  <si>
    <t>P72.01.010</t>
  </si>
  <si>
    <t>30.00.0002</t>
  </si>
  <si>
    <t>30.00.0038</t>
  </si>
  <si>
    <t>51.01.</t>
  </si>
  <si>
    <t>22.01.2000</t>
  </si>
  <si>
    <t>30.00.0013</t>
  </si>
  <si>
    <t>MK 2501</t>
  </si>
  <si>
    <t>52.38.</t>
  </si>
  <si>
    <t>22.31.2000</t>
  </si>
  <si>
    <t>52.39.</t>
  </si>
  <si>
    <t>22.30.2000</t>
  </si>
  <si>
    <t>22.43.2000</t>
  </si>
  <si>
    <t>Packaging</t>
  </si>
  <si>
    <t>Code 3 =</t>
  </si>
  <si>
    <t>21-24</t>
  </si>
  <si>
    <t>Rcode</t>
  </si>
  <si>
    <t>Code</t>
  </si>
  <si>
    <t>Quantity Ordered:</t>
  </si>
  <si>
    <t>quote65</t>
  </si>
  <si>
    <t>quote66</t>
  </si>
  <si>
    <t>Quote or BOM Text</t>
  </si>
  <si>
    <t>quote67</t>
  </si>
  <si>
    <t>quote68</t>
  </si>
  <si>
    <t>quote69</t>
  </si>
  <si>
    <r>
      <t>Select</t>
    </r>
    <r>
      <rPr>
        <sz val="12"/>
        <rFont val="Arial"/>
        <family val="2"/>
      </rPr>
      <t xml:space="preserve"> Frame Width:</t>
    </r>
  </si>
  <si>
    <t>For Parts List</t>
  </si>
  <si>
    <t>Ident</t>
  </si>
  <si>
    <t>SF 2.1 or 2.2</t>
  </si>
  <si>
    <t>Holders</t>
  </si>
  <si>
    <t>0700BK Rail</t>
  </si>
  <si>
    <t>Remarks</t>
  </si>
  <si>
    <t>30.00.0070</t>
  </si>
  <si>
    <t>End Cap</t>
  </si>
  <si>
    <t>Clamp 3</t>
  </si>
  <si>
    <t>Rod 1</t>
  </si>
  <si>
    <t>Rod 3</t>
  </si>
  <si>
    <t>quote70</t>
  </si>
  <si>
    <t>34.01.0007</t>
  </si>
  <si>
    <t>7000AA0050</t>
  </si>
  <si>
    <t>Direct</t>
  </si>
  <si>
    <t>W.vars.</t>
  </si>
  <si>
    <t>1B.BG</t>
  </si>
  <si>
    <t>50.02.0028</t>
  </si>
  <si>
    <t>Service</t>
  </si>
  <si>
    <t>5104AA</t>
  </si>
  <si>
    <t>Angle</t>
  </si>
  <si>
    <t>82.05.0045</t>
  </si>
  <si>
    <t>MK 2504</t>
  </si>
  <si>
    <t>D0912816</t>
  </si>
  <si>
    <t>D0912835</t>
  </si>
  <si>
    <t>D093416</t>
  </si>
  <si>
    <t>Mounting</t>
  </si>
  <si>
    <t>50.02.0023</t>
  </si>
  <si>
    <t>54.40.</t>
  </si>
  <si>
    <t>54.02.</t>
  </si>
  <si>
    <t>50.02.0078</t>
  </si>
  <si>
    <t>MK 2508</t>
  </si>
  <si>
    <t>30.00.0064</t>
  </si>
  <si>
    <t>D79911230</t>
  </si>
  <si>
    <t>D0912820</t>
  </si>
  <si>
    <t>K110060003</t>
  </si>
  <si>
    <t>D093410</t>
  </si>
  <si>
    <t>50.02.0088</t>
  </si>
  <si>
    <t>D09331240</t>
  </si>
  <si>
    <t>50.02.0089</t>
  </si>
  <si>
    <t>D09131680</t>
  </si>
  <si>
    <t>D09131660</t>
  </si>
  <si>
    <t>MK 2507</t>
  </si>
  <si>
    <t>82.40.0747</t>
  </si>
  <si>
    <t>Ext. Plate</t>
  </si>
  <si>
    <t>50.05.0047</t>
  </si>
  <si>
    <t>Notes</t>
  </si>
  <si>
    <t>B67.05.008</t>
  </si>
  <si>
    <t>54.01.</t>
  </si>
  <si>
    <t>5100AA</t>
  </si>
  <si>
    <t>B67.06.011</t>
  </si>
  <si>
    <t>5401AA</t>
  </si>
  <si>
    <t>K110050003</t>
  </si>
  <si>
    <t>Lev. Pad</t>
  </si>
  <si>
    <t>B67.02.002</t>
  </si>
  <si>
    <t>50.09.0057</t>
  </si>
  <si>
    <t>34.01.0006</t>
  </si>
  <si>
    <t>at Base</t>
  </si>
  <si>
    <t>76.01.0008</t>
  </si>
  <si>
    <t>B67.02.075</t>
  </si>
  <si>
    <t>82.40.0702</t>
  </si>
  <si>
    <t>82.40.0741</t>
  </si>
  <si>
    <t>26.00.0006</t>
  </si>
  <si>
    <t>Brace</t>
  </si>
  <si>
    <t>Floor mt.</t>
  </si>
  <si>
    <t>Hdwr</t>
  </si>
  <si>
    <t>Profile Uprights</t>
  </si>
  <si>
    <t>Profile Horizontals</t>
  </si>
  <si>
    <t>D0912825</t>
  </si>
  <si>
    <t>Horizontal</t>
  </si>
  <si>
    <t>E25s Angles</t>
  </si>
  <si>
    <t>Bottom End Cap</t>
  </si>
  <si>
    <t>Conveyor Mounting</t>
  </si>
  <si>
    <t>Conveyor Mtg.</t>
  </si>
  <si>
    <t>B67.06.001</t>
  </si>
  <si>
    <t>B67.06.002</t>
  </si>
  <si>
    <t>B67.06.007</t>
  </si>
  <si>
    <t>B67.06.003</t>
  </si>
  <si>
    <t>B67.06.004</t>
  </si>
  <si>
    <t>B67.06.008</t>
  </si>
  <si>
    <t>B67.03.002</t>
  </si>
  <si>
    <t>Sys</t>
  </si>
  <si>
    <t>Traverse</t>
  </si>
  <si>
    <t>Base Plate</t>
  </si>
  <si>
    <t>50.02.0025</t>
  </si>
  <si>
    <t>34.01.0003</t>
  </si>
  <si>
    <t>34.01.0011</t>
  </si>
  <si>
    <t>50.09.0059</t>
  </si>
  <si>
    <t>50.09.0060</t>
  </si>
  <si>
    <t>50.09.0061</t>
  </si>
  <si>
    <t>50.09.0062</t>
  </si>
  <si>
    <t>Angles</t>
  </si>
  <si>
    <t>Profile Lengths</t>
  </si>
  <si>
    <t>Opt</t>
  </si>
  <si>
    <t xml:space="preserve">L1 </t>
  </si>
  <si>
    <t>L2</t>
  </si>
  <si>
    <t>50.02.0018</t>
  </si>
  <si>
    <t>34.01.0002</t>
  </si>
  <si>
    <t>Sys Test</t>
  </si>
  <si>
    <t>End Caps</t>
  </si>
  <si>
    <t>MK 2500</t>
  </si>
  <si>
    <t>L3</t>
  </si>
  <si>
    <t>L4</t>
  </si>
  <si>
    <t>82.05.0052</t>
  </si>
  <si>
    <t>53.1, 53.2</t>
  </si>
  <si>
    <t>53.11, 12, 21, 22</t>
  </si>
  <si>
    <t>Mfg.</t>
  </si>
  <si>
    <t>Manufacturer</t>
  </si>
  <si>
    <t>quote71</t>
  </si>
  <si>
    <t>quote72</t>
  </si>
  <si>
    <t>quote73</t>
  </si>
  <si>
    <t>quote74</t>
  </si>
  <si>
    <t>Width open</t>
  </si>
  <si>
    <t>Width closed</t>
  </si>
  <si>
    <t>quote75</t>
  </si>
  <si>
    <t>Z1</t>
  </si>
  <si>
    <t>Z2</t>
  </si>
  <si>
    <t>Max Bore</t>
  </si>
  <si>
    <t>Shaft</t>
  </si>
  <si>
    <t>Diameter</t>
  </si>
  <si>
    <t>Shaft Dia.</t>
  </si>
  <si>
    <t>quote76</t>
  </si>
  <si>
    <t>Ratio</t>
  </si>
  <si>
    <t>Motor Shaft Ø</t>
  </si>
  <si>
    <t>RPM Required</t>
  </si>
  <si>
    <t>Motor RPM</t>
  </si>
  <si>
    <t>Version</t>
  </si>
  <si>
    <t>P58.35.012.016</t>
  </si>
  <si>
    <t>P58.35.010</t>
  </si>
  <si>
    <t>P58.35.011</t>
  </si>
  <si>
    <t>P58.35.012</t>
  </si>
  <si>
    <t>P58.35.013</t>
  </si>
  <si>
    <t>P58.35.014</t>
  </si>
  <si>
    <t>P58.35.015</t>
  </si>
  <si>
    <t>P58.35.016</t>
  </si>
  <si>
    <t>P58.35.017</t>
  </si>
  <si>
    <t>P58.35.018</t>
  </si>
  <si>
    <t>P58.35.019</t>
  </si>
  <si>
    <t>P58.35.020</t>
  </si>
  <si>
    <t>P58.35.021</t>
  </si>
  <si>
    <t>P58.35.022</t>
  </si>
  <si>
    <t>P58.35.023</t>
  </si>
  <si>
    <t>P58.35.024</t>
  </si>
  <si>
    <t>7000CA0100</t>
  </si>
  <si>
    <t>51.30.</t>
  </si>
  <si>
    <t>PROFILE mk 2030</t>
  </si>
  <si>
    <t>P31.04.050</t>
  </si>
  <si>
    <t>P31.04.051</t>
  </si>
  <si>
    <t>P31.04.052</t>
  </si>
  <si>
    <t>P31.04.053</t>
  </si>
  <si>
    <t>P31.04.054</t>
  </si>
  <si>
    <t>P31.04.055</t>
  </si>
  <si>
    <t>P31.04.056</t>
  </si>
  <si>
    <t>P31.04.057</t>
  </si>
  <si>
    <t>P31.04.058</t>
  </si>
  <si>
    <t>P31.04.060</t>
  </si>
  <si>
    <t>P31.04.061</t>
  </si>
  <si>
    <t>P31.04.062</t>
  </si>
  <si>
    <t>P31.04.063</t>
  </si>
  <si>
    <t>P31.04.064</t>
  </si>
  <si>
    <t>P31.04.065</t>
  </si>
  <si>
    <t>P31.04.066</t>
  </si>
  <si>
    <t>P31.04.067</t>
  </si>
  <si>
    <t>P31.04.068</t>
  </si>
  <si>
    <t>P31.04.069</t>
  </si>
  <si>
    <t>P31.04.070</t>
  </si>
  <si>
    <t>P31.04.075</t>
  </si>
  <si>
    <t>P31.04.076</t>
  </si>
  <si>
    <t>P31.04.077</t>
  </si>
  <si>
    <t>P31.04.080</t>
  </si>
  <si>
    <t>P31.04.081</t>
  </si>
  <si>
    <t>P31.04.082</t>
  </si>
  <si>
    <t>P31.10.051</t>
  </si>
  <si>
    <t>P31.10.050</t>
  </si>
  <si>
    <t>P31.10.541</t>
  </si>
  <si>
    <t>P31.10.540</t>
  </si>
  <si>
    <t>P31.10.542</t>
  </si>
  <si>
    <t>P31.10.543</t>
  </si>
  <si>
    <t>P31.10.544</t>
  </si>
  <si>
    <t>P31.10.545</t>
  </si>
  <si>
    <t>P31.10.546</t>
  </si>
  <si>
    <t>P31.10.547</t>
  </si>
  <si>
    <t>P31.10.548</t>
  </si>
  <si>
    <t>P31.10.521</t>
  </si>
  <si>
    <t>P31.10.522</t>
  </si>
  <si>
    <t>P31.10.523</t>
  </si>
  <si>
    <t>P31.10.524</t>
  </si>
  <si>
    <t>P31.10.525</t>
  </si>
  <si>
    <t>P31.10.526</t>
  </si>
  <si>
    <t>P31.10.527</t>
  </si>
  <si>
    <t>P31.10.528</t>
  </si>
  <si>
    <t>Baldor Motor GPP 12547</t>
  </si>
  <si>
    <t>Baldor Motor GPP 12545</t>
  </si>
  <si>
    <t>Baldor Motor GPP 12544</t>
  </si>
  <si>
    <t>Baldor Motor GPP 12543</t>
  </si>
  <si>
    <t>Baldor Motor GPP 12542</t>
  </si>
  <si>
    <t>Baldor Motor GPP 12541</t>
  </si>
  <si>
    <t>Baldor Motor GPP 12540</t>
  </si>
  <si>
    <t>Baldor Motor GPP 7459</t>
  </si>
  <si>
    <t>Baldor Motor GPP 7462</t>
  </si>
  <si>
    <t>Baldor Motor GPP 7458</t>
  </si>
  <si>
    <t>Baldor Motor GPP 7457</t>
  </si>
  <si>
    <t>Baldor Motor GPP 7461</t>
  </si>
  <si>
    <t>Baldor Motor GPP 7456</t>
  </si>
  <si>
    <t>Baldor Motor GPP 7460</t>
  </si>
  <si>
    <t>Baldor Motor GPP 7455</t>
  </si>
  <si>
    <t>Baldor Motor GPP 7454</t>
  </si>
  <si>
    <t>Baldor Motor GPP 7453</t>
  </si>
  <si>
    <t>Baldor Motor GPP 7452</t>
  </si>
  <si>
    <t>Baldor Motor GPP 7451</t>
  </si>
  <si>
    <t>Baldor Motor GPP 7450</t>
  </si>
  <si>
    <t>Baldor Motor GPP 2530</t>
  </si>
  <si>
    <t>Baldor Motor GPP 2534</t>
  </si>
  <si>
    <t>Baldor Motor GPP 2538</t>
  </si>
  <si>
    <t>Baldor Motor GPP 3340</t>
  </si>
  <si>
    <t>Baldor Motor GPP 3344</t>
  </si>
  <si>
    <t>Baldor Motor GPP 3348</t>
  </si>
  <si>
    <t>Baldor Control BC138 (KB# 9380)</t>
  </si>
  <si>
    <t>KB 0.75 Amp Armature Fuse</t>
  </si>
  <si>
    <t>KB 4.00 Amp Armature Fuse</t>
  </si>
  <si>
    <t>KB 5.00 Amp Armature Fuse</t>
  </si>
  <si>
    <t>P0Q12</t>
  </si>
  <si>
    <t>Motor Manufacturer P0Q12</t>
  </si>
  <si>
    <t>Preferred Manufacturer</t>
  </si>
  <si>
    <t>MFG.</t>
  </si>
  <si>
    <t>Volts DC</t>
  </si>
  <si>
    <t>quote81</t>
  </si>
  <si>
    <t>HP Resistor</t>
  </si>
  <si>
    <t>Arm. Fuse</t>
  </si>
  <si>
    <t>SprocketD</t>
  </si>
  <si>
    <t>SprocketM</t>
  </si>
  <si>
    <t>P58.35.025</t>
  </si>
  <si>
    <t>P58.35.026</t>
  </si>
  <si>
    <t>P58.35.027</t>
  </si>
  <si>
    <t>P58.35.028</t>
  </si>
  <si>
    <t>P58.35.030</t>
  </si>
  <si>
    <t>Motor Bore</t>
  </si>
  <si>
    <t>Fit</t>
  </si>
  <si>
    <t>Exact</t>
  </si>
  <si>
    <t>P58.35.015.020</t>
  </si>
  <si>
    <t>P58.35.016.020</t>
  </si>
  <si>
    <t>P58.35.017.020</t>
  </si>
  <si>
    <t>P58.35.018.020</t>
  </si>
  <si>
    <t>P58.35.019.020</t>
  </si>
  <si>
    <t>P58.35.020.020</t>
  </si>
  <si>
    <t>P58.35.021.020</t>
  </si>
  <si>
    <t>P58.35.022.020</t>
  </si>
  <si>
    <t>P58.35.030.020</t>
  </si>
  <si>
    <t xml:space="preserve">ac </t>
  </si>
  <si>
    <t>sew</t>
  </si>
  <si>
    <t>bod lge.</t>
  </si>
  <si>
    <t>max od</t>
  </si>
  <si>
    <t>ag</t>
  </si>
  <si>
    <t>bod sml</t>
  </si>
  <si>
    <t>max pd</t>
  </si>
  <si>
    <t>19T</t>
  </si>
  <si>
    <t>P58.35.032</t>
  </si>
  <si>
    <t>P58.35.035</t>
  </si>
  <si>
    <t>B01.00.005</t>
  </si>
  <si>
    <t>as</t>
  </si>
  <si>
    <t>B01.00.008</t>
  </si>
  <si>
    <t>10-19T</t>
  </si>
  <si>
    <t>30T</t>
  </si>
  <si>
    <t>12-30T</t>
  </si>
  <si>
    <t>32T</t>
  </si>
  <si>
    <t>12-32T</t>
  </si>
  <si>
    <t>B01.00.020</t>
  </si>
  <si>
    <t>see AC</t>
  </si>
  <si>
    <t>B01.00.003</t>
  </si>
  <si>
    <t>58.11.0025</t>
  </si>
  <si>
    <t>P58.32.012</t>
  </si>
  <si>
    <t>P58.32.013</t>
  </si>
  <si>
    <t>P58.32.014</t>
  </si>
  <si>
    <t>P58.32.016</t>
  </si>
  <si>
    <t>P58.35.014.120</t>
  </si>
  <si>
    <t>w. Z1=14</t>
  </si>
  <si>
    <t>w. Z1=18</t>
  </si>
  <si>
    <t>22T</t>
  </si>
  <si>
    <t>w. Z1=22</t>
  </si>
  <si>
    <t>14T</t>
  </si>
  <si>
    <t>P58.35.018.120</t>
  </si>
  <si>
    <t>P58.35.022.120</t>
  </si>
  <si>
    <t>see BC</t>
  </si>
  <si>
    <t>26T</t>
  </si>
  <si>
    <t>26t</t>
  </si>
  <si>
    <t>General purpose</t>
  </si>
  <si>
    <t>$$</t>
  </si>
  <si>
    <t>P57.01.000</t>
  </si>
  <si>
    <t>STAINLESS STEEL SHEET, 48" X 96"</t>
  </si>
  <si>
    <t>$$$</t>
  </si>
  <si>
    <t>quote77</t>
  </si>
  <si>
    <t>No suitable motor found. Please try version BC (Page 3).</t>
  </si>
  <si>
    <t>No suitable motor found. Please try version AC (Page 2).</t>
  </si>
  <si>
    <t>AG MIN</t>
  </si>
  <si>
    <t>BE MIN</t>
  </si>
  <si>
    <t>BE MAX</t>
  </si>
  <si>
    <t>AG MAX</t>
  </si>
  <si>
    <t>min possible rpm</t>
  </si>
  <si>
    <t>max possible rpm</t>
  </si>
  <si>
    <t>1st ch.</t>
  </si>
  <si>
    <t>2nd ch</t>
  </si>
  <si>
    <t>2nd ch.</t>
  </si>
  <si>
    <t>3rd ch.</t>
  </si>
  <si>
    <t>quote78</t>
  </si>
  <si>
    <t>Range</t>
  </si>
  <si>
    <t>quote79</t>
  </si>
  <si>
    <t>REQ</t>
  </si>
  <si>
    <t>min1</t>
  </si>
  <si>
    <t>min2</t>
  </si>
  <si>
    <t>min3</t>
  </si>
  <si>
    <t>max1</t>
  </si>
  <si>
    <t>max2</t>
  </si>
  <si>
    <t>max3</t>
  </si>
  <si>
    <t>RPM Range</t>
  </si>
  <si>
    <t>1st ch</t>
  </si>
  <si>
    <t>3rd ch</t>
  </si>
  <si>
    <t>Light Accumulation</t>
  </si>
  <si>
    <t>safety factor</t>
  </si>
  <si>
    <t>L1=lower upright</t>
  </si>
  <si>
    <t>L2=upper upright</t>
  </si>
  <si>
    <t>Hardware=2/50 for 2033 based on plate option</t>
  </si>
  <si>
    <t>Traverse=</t>
  </si>
  <si>
    <t>ok</t>
  </si>
  <si>
    <t>1B.BA.0050</t>
  </si>
  <si>
    <t>1B.BA.0150</t>
  </si>
  <si>
    <t>1B.BA.0100</t>
  </si>
  <si>
    <t>1B.BA.0200</t>
  </si>
  <si>
    <t>1B.BA.0250</t>
  </si>
  <si>
    <t>1B.BA.0300</t>
  </si>
  <si>
    <t>1B.BA.0400</t>
  </si>
  <si>
    <t>1B.BA.0500</t>
  </si>
  <si>
    <t>1B.BA.0600</t>
  </si>
  <si>
    <t>1B.BA.0700</t>
  </si>
  <si>
    <t>1B.BA.0800</t>
  </si>
  <si>
    <t>Motor Voltage:</t>
  </si>
  <si>
    <t>Shaft/Flange</t>
  </si>
  <si>
    <t>Terminal Box</t>
  </si>
  <si>
    <t>Sprocket at Drum</t>
  </si>
  <si>
    <t>Sprocket at Motor</t>
  </si>
  <si>
    <t>If no sprockets shown, select motor manually.</t>
  </si>
  <si>
    <t>1B.BG.0050</t>
  </si>
  <si>
    <t>1B.BG.0100</t>
  </si>
  <si>
    <t>1B.BG.0150</t>
  </si>
  <si>
    <t>1B.BG.0200</t>
  </si>
  <si>
    <t>1B.BG.0250</t>
  </si>
  <si>
    <t>1B.BG.0300</t>
  </si>
  <si>
    <t>1B.BG.0400</t>
  </si>
  <si>
    <t>hp fraction</t>
  </si>
  <si>
    <t>quote103</t>
  </si>
  <si>
    <t>1B.BG.0600</t>
  </si>
  <si>
    <t>1B.BG.0500</t>
  </si>
  <si>
    <t>1B.BG.0700</t>
  </si>
  <si>
    <t>1B.BG.0800</t>
  </si>
  <si>
    <t>2B.13.0050</t>
  </si>
  <si>
    <t>2B.13.0100</t>
  </si>
  <si>
    <t>2B.13.0150</t>
  </si>
  <si>
    <t>2B.13.0200</t>
  </si>
  <si>
    <t>2B.13.0250</t>
  </si>
  <si>
    <t>2B.13.0300</t>
  </si>
  <si>
    <t>2B.13.0400</t>
  </si>
  <si>
    <t>2B.13.0500</t>
  </si>
  <si>
    <t>2B.13.0600</t>
  </si>
  <si>
    <t>2B.13.0700</t>
  </si>
  <si>
    <t>2B.13.0800</t>
  </si>
  <si>
    <t>2B.17.0050</t>
  </si>
  <si>
    <t>2B.17.0150</t>
  </si>
  <si>
    <t>2B.17.0100</t>
  </si>
  <si>
    <t>2B.17.0200</t>
  </si>
  <si>
    <t>2B.17.0250</t>
  </si>
  <si>
    <t>2B.17.0300</t>
  </si>
  <si>
    <t>Purchase Order #</t>
  </si>
  <si>
    <t>Date Ordered</t>
  </si>
  <si>
    <t>Date Required</t>
  </si>
  <si>
    <t>Ship Via</t>
  </si>
  <si>
    <t>Mark for Shop Order #</t>
  </si>
  <si>
    <t>Mark with Drawing #</t>
  </si>
  <si>
    <t>Quantity:</t>
  </si>
  <si>
    <t>SEW EuroDrive Motor</t>
  </si>
  <si>
    <t>Unit Cost</t>
  </si>
  <si>
    <t>Order Value</t>
  </si>
  <si>
    <t>Hp:</t>
  </si>
  <si>
    <t>Rpm:</t>
  </si>
  <si>
    <t>Torque:</t>
  </si>
  <si>
    <t>230/460 VAC, 3 Ph, 60 Hz</t>
  </si>
  <si>
    <t>Terminal Box:</t>
  </si>
  <si>
    <t>Cable Entry:</t>
  </si>
  <si>
    <t>Shaft Location:</t>
  </si>
  <si>
    <t>Shaft Ø (U):</t>
  </si>
  <si>
    <t>Flange Location:</t>
  </si>
  <si>
    <t>Flange Ø (BD):</t>
  </si>
  <si>
    <t>120 mm</t>
  </si>
  <si>
    <t>Motor Mounting:</t>
  </si>
  <si>
    <t>Ordered By:</t>
  </si>
  <si>
    <t>Please confirm Price and Delivery</t>
  </si>
  <si>
    <t>7000AA0075</t>
  </si>
  <si>
    <t>DRIVE, GUF-P 2000 AC</t>
  </si>
  <si>
    <t>DRIVE, GUF-P 2000 AM LEFT</t>
  </si>
  <si>
    <t>DRIVE, GUF-P 2000 AM RIGHT</t>
  </si>
  <si>
    <t>DRIVE, GUF-P 2000 AW LEFT</t>
  </si>
  <si>
    <t>DRIVE, GUF-P 2000 AW RIGHT</t>
  </si>
  <si>
    <t>WIDTH VARIABLES, BC/50</t>
  </si>
  <si>
    <t>WIDTH VARIABLES, BC/100</t>
  </si>
  <si>
    <t>WIDTH VARIABLES, BC/150</t>
  </si>
  <si>
    <t>WIDTH VARIABLES, BC/200</t>
  </si>
  <si>
    <t>WIDTH VARIABLES, BC/250</t>
  </si>
  <si>
    <t>WIDTH VARIABLES, BC/300</t>
  </si>
  <si>
    <t>WIDTH VARIABLES, BC/400</t>
  </si>
  <si>
    <t>WIDTH VARIABLES, BC/500</t>
  </si>
  <si>
    <t>WIDTH VARIABLES, BC/600</t>
  </si>
  <si>
    <t>WIDTH VARIABLES, BC/700</t>
  </si>
  <si>
    <t>WIDTH VARIABLES, BC/800</t>
  </si>
  <si>
    <t>DRIVE, GUF-P 2000 BA</t>
  </si>
  <si>
    <t>DRIVE, GUF-P 2000 BC</t>
  </si>
  <si>
    <t>DRIVE, GUF-P 2000 BE</t>
  </si>
  <si>
    <t>OFFSET, D=25mm</t>
  </si>
  <si>
    <t>ANGLE E40/S3*</t>
  </si>
  <si>
    <t>0.51 OHM HP RESISTOR, KB</t>
  </si>
  <si>
    <t>0.35 OHM HP RESISTOR, KB</t>
  </si>
  <si>
    <t>0.25 OHM HP RESISTOR, KB</t>
  </si>
  <si>
    <t>0.18 OHM HP RESISTOR, KB</t>
  </si>
  <si>
    <t>0.10 OHM HP RESISTOR, KB</t>
  </si>
  <si>
    <t>0.05 OHM HP RESISTOR, KB</t>
  </si>
  <si>
    <t>.035 OHM , HP RESISTOR</t>
  </si>
  <si>
    <t>0.025 OHM HP RESISTOR, KB</t>
  </si>
  <si>
    <t>1/2 AMP FUSE, KB</t>
  </si>
  <si>
    <t>1 AMP FUSE, KB</t>
  </si>
  <si>
    <t>1-1/4 AMP FUSE, KB</t>
  </si>
  <si>
    <t>2 AMP FUSE, KB</t>
  </si>
  <si>
    <t>KB FUSE 2-1/2 AMP</t>
  </si>
  <si>
    <t>Red is new</t>
  </si>
  <si>
    <t>Red description not in Paradox</t>
  </si>
  <si>
    <t>Width Vars</t>
  </si>
  <si>
    <t>Drive Drum</t>
  </si>
  <si>
    <t>Traverse Check</t>
  </si>
  <si>
    <t>H &lt; 700</t>
  </si>
  <si>
    <t>H &gt;= 700</t>
  </si>
  <si>
    <t>53.2, BB&gt;=500</t>
  </si>
  <si>
    <t>53.1, BB&gt;=400</t>
  </si>
  <si>
    <t>90mm test</t>
  </si>
  <si>
    <t>Total cross-braces</t>
  </si>
  <si>
    <t>7000AA0100</t>
  </si>
  <si>
    <t>7000AA0150</t>
  </si>
  <si>
    <t>7000AA0200</t>
  </si>
  <si>
    <t>7000AD0050</t>
  </si>
  <si>
    <t>7000AD0075</t>
  </si>
  <si>
    <t>7000AD0100</t>
  </si>
  <si>
    <t>7000AD0150</t>
  </si>
  <si>
    <t>7000AD0200</t>
  </si>
  <si>
    <t>7000AD0250</t>
  </si>
  <si>
    <t>7000AF0050</t>
  </si>
  <si>
    <t>7000AF0075</t>
  </si>
  <si>
    <t>7000AF0100</t>
  </si>
  <si>
    <t>7000AF0150</t>
  </si>
  <si>
    <t>7000CA0050</t>
  </si>
  <si>
    <t>7000CA0075</t>
  </si>
  <si>
    <t>7000CC0050</t>
  </si>
  <si>
    <t>7000CC0075</t>
  </si>
  <si>
    <t>7000CC0100</t>
  </si>
  <si>
    <t>7000CC0150</t>
  </si>
  <si>
    <t>9B.SR.0100</t>
  </si>
  <si>
    <t>9B.SR.0150</t>
  </si>
  <si>
    <t>9B.SR.0200</t>
  </si>
  <si>
    <t>9B.SR.0250</t>
  </si>
  <si>
    <t>9B.SR.0300</t>
  </si>
  <si>
    <t>B91.13.350.0100</t>
  </si>
  <si>
    <t>B91.13.350.0150</t>
  </si>
  <si>
    <t>B91.13.350.0200</t>
  </si>
  <si>
    <t>B91.13.350.0250</t>
  </si>
  <si>
    <t>B91.13.350.0300</t>
  </si>
  <si>
    <t>B91.14.353</t>
  </si>
  <si>
    <t>B91.14.353.0100</t>
  </si>
  <si>
    <t>GUF-P 2000/100 AW DRIVE DRUM</t>
  </si>
  <si>
    <t>B91.14.353.0150</t>
  </si>
  <si>
    <t>B91.14.353.0200</t>
  </si>
  <si>
    <t>B91.14.353.0250</t>
  </si>
  <si>
    <t>B91.14.353.0300</t>
  </si>
  <si>
    <t>B91.14.353.0400</t>
  </si>
  <si>
    <t>B91.14.353.0500</t>
  </si>
  <si>
    <t>B91.14.353.0600</t>
  </si>
  <si>
    <t>B91.14.353.0700</t>
  </si>
  <si>
    <t>B91.14.353.0800</t>
  </si>
  <si>
    <t>GUF-P 2000/150 AW DRIVE DRUM</t>
  </si>
  <si>
    <t>GUF-P 2000/200 AW DRIVE DRUM</t>
  </si>
  <si>
    <t>GUF-P 2000/250 AW DRIVE DRUM</t>
  </si>
  <si>
    <t>GUF-P 2000/300 AW DRIVE DRUM</t>
  </si>
  <si>
    <t>GUF-P 2000/400 AW DRIVE DRUM</t>
  </si>
  <si>
    <t>GUF-P 2000/500 AW DRIVE DRUM</t>
  </si>
  <si>
    <t>GUF-P 2000/600 AW DRIVE DRUM</t>
  </si>
  <si>
    <t>GUF-P 2000/700 AW DRIVE DRUM</t>
  </si>
  <si>
    <t>GUF-P 2000/800 AW DRIVE DRUM</t>
  </si>
  <si>
    <t>B91.13.350.0400</t>
  </si>
  <si>
    <t>B91.13.350.0500</t>
  </si>
  <si>
    <t>B91.13.350.0600</t>
  </si>
  <si>
    <t>B91.13.350.0700</t>
  </si>
  <si>
    <t>B91.13.350.0800</t>
  </si>
  <si>
    <t>B91.13.352.0100</t>
  </si>
  <si>
    <t>B91.13.352.0150</t>
  </si>
  <si>
    <t>B91.13.352.0200</t>
  </si>
  <si>
    <t>B91.13.352.0250</t>
  </si>
  <si>
    <t>B91.13.352.0300</t>
  </si>
  <si>
    <t>B91.13.352.0400</t>
  </si>
  <si>
    <t>B91.13.352.0500</t>
  </si>
  <si>
    <t>B91.13.352.0600</t>
  </si>
  <si>
    <t>B91.13.352.0700</t>
  </si>
  <si>
    <t>B91.13.352.0800</t>
  </si>
  <si>
    <t>Stainless</t>
  </si>
  <si>
    <t>B91.13.400.0100</t>
  </si>
  <si>
    <t>B91.13.400.0150</t>
  </si>
  <si>
    <t>B91.13.400.0200</t>
  </si>
  <si>
    <t>B91.13.400.0250</t>
  </si>
  <si>
    <t>B91.13.400.0300</t>
  </si>
  <si>
    <t>B91.13.400.0400</t>
  </si>
  <si>
    <t>B91.13.400.0500</t>
  </si>
  <si>
    <t>B91.13.400.0600</t>
  </si>
  <si>
    <t>B91.13.400.0700</t>
  </si>
  <si>
    <t>B91.13.400.0800</t>
  </si>
  <si>
    <t>B91.13.550.0100</t>
  </si>
  <si>
    <t>B91.13.550.0150</t>
  </si>
  <si>
    <t>B91.13.550.0200</t>
  </si>
  <si>
    <t>B91.13.550.0250</t>
  </si>
  <si>
    <t>B91.13.550.0300</t>
  </si>
  <si>
    <t>B91.13.550.0400</t>
  </si>
  <si>
    <t>B91.13.550.0500</t>
  </si>
  <si>
    <t>B91.13.550.0600</t>
  </si>
  <si>
    <t>B91.13.550.0700</t>
  </si>
  <si>
    <t>B91.13.550.0800</t>
  </si>
  <si>
    <t>B91.14.350.0100</t>
  </si>
  <si>
    <t>B91.14.350.0150</t>
  </si>
  <si>
    <t>B91.14.350.0200</t>
  </si>
  <si>
    <t>B91.14.350.0250</t>
  </si>
  <si>
    <t>B91.14.350.0300</t>
  </si>
  <si>
    <t>B91.14.350.0400</t>
  </si>
  <si>
    <t>B91.14.350.0500</t>
  </si>
  <si>
    <t>B91.14.350.0600</t>
  </si>
  <si>
    <t>B91.14.350.0700</t>
  </si>
  <si>
    <t>B91.14.350.0800</t>
  </si>
  <si>
    <t>B91.14.354.0100</t>
  </si>
  <si>
    <t>B91.14.354.0150</t>
  </si>
  <si>
    <t>B91.14.354.0200</t>
  </si>
  <si>
    <t>B91.14.354.0250</t>
  </si>
  <si>
    <t>B91.14.354.0300</t>
  </si>
  <si>
    <t>B91.14.354.0400</t>
  </si>
  <si>
    <t>B91.14.354.0500</t>
  </si>
  <si>
    <t>B91.14.354.0600</t>
  </si>
  <si>
    <t>B91.14.354.0700</t>
  </si>
  <si>
    <t>B91.14.354.0800</t>
  </si>
  <si>
    <t>B91.14.400.0100</t>
  </si>
  <si>
    <t>B91.14.400.0150</t>
  </si>
  <si>
    <t>B91.14.400.0200</t>
  </si>
  <si>
    <t>B91.14.400.0250</t>
  </si>
  <si>
    <t>B91.14.400.0300</t>
  </si>
  <si>
    <t>B91.14.400.0400</t>
  </si>
  <si>
    <t>B91.14.400.0500</t>
  </si>
  <si>
    <t>B91.14.400.0600</t>
  </si>
  <si>
    <t>B91.14.400.0700</t>
  </si>
  <si>
    <t>B91.14.400.0800</t>
  </si>
  <si>
    <t>STRAIGHT PLATE 07</t>
  </si>
  <si>
    <t>P5914</t>
  </si>
  <si>
    <t>1/4" NYLON CORD GRIP</t>
  </si>
  <si>
    <t>34.09.0003</t>
  </si>
  <si>
    <t>34.09.0004</t>
  </si>
  <si>
    <t>OFFSET, D1=50mm</t>
  </si>
  <si>
    <t>B91.33.400.0100</t>
  </si>
  <si>
    <t>Blue</t>
  </si>
  <si>
    <t>Matte top</t>
  </si>
  <si>
    <t>High grip</t>
  </si>
  <si>
    <t>B91.33.400.0150</t>
  </si>
  <si>
    <t>B91.33.400.0200</t>
  </si>
  <si>
    <t>B91.33.400.0250</t>
  </si>
  <si>
    <t>B91.33.400.0300</t>
  </si>
  <si>
    <t>B91.33.400.0400</t>
  </si>
  <si>
    <t>B91.33.400.0500</t>
  </si>
  <si>
    <t>B91.33.400.0600</t>
  </si>
  <si>
    <t>B91.33.400.0700</t>
  </si>
  <si>
    <t>B91.33.400.0800</t>
  </si>
  <si>
    <t>B91.33.550.0100</t>
  </si>
  <si>
    <t>B91.33.550.0150</t>
  </si>
  <si>
    <t>B91.33.550.0200</t>
  </si>
  <si>
    <t>B91.33.550.0250</t>
  </si>
  <si>
    <t>B91.33.550.0300</t>
  </si>
  <si>
    <t>B91.33.550.0400</t>
  </si>
  <si>
    <t>B91.33.550.0500</t>
  </si>
  <si>
    <t>B91.33.550.0600</t>
  </si>
  <si>
    <t>B91.33.550.0700</t>
  </si>
  <si>
    <t>B91.33.550.0800</t>
  </si>
  <si>
    <t>B91.34.400.0100</t>
  </si>
  <si>
    <t>B91.34.400.0150</t>
  </si>
  <si>
    <t>B91.34.400.0200</t>
  </si>
  <si>
    <t>B91.34.400.0250</t>
  </si>
  <si>
    <t>B91.34.400.0300</t>
  </si>
  <si>
    <t>B91.34.400.0400</t>
  </si>
  <si>
    <t>B91.34.400.0500</t>
  </si>
  <si>
    <t>B91.34.400.0600</t>
  </si>
  <si>
    <t>B91.34.400.0700</t>
  </si>
  <si>
    <t>B91.34.400.0800</t>
  </si>
  <si>
    <t>B91.54.352.0100</t>
  </si>
  <si>
    <t>B91.54.352.0150</t>
  </si>
  <si>
    <t>B91.54.352.0200</t>
  </si>
  <si>
    <t>B91.54.352.0250</t>
  </si>
  <si>
    <t>B91.54.352.0300</t>
  </si>
  <si>
    <t>B91.54.352.0400</t>
  </si>
  <si>
    <t>B91.54.352.0500</t>
  </si>
  <si>
    <t>B91.54.352.0600</t>
  </si>
  <si>
    <t>B91.54.352.0700</t>
  </si>
  <si>
    <t>B91.54.352.0800</t>
  </si>
  <si>
    <t>B91.54.355.0100</t>
  </si>
  <si>
    <t>B91.54.355.0150</t>
  </si>
  <si>
    <t>B91.54.355.0200</t>
  </si>
  <si>
    <t>B91.54.355.0250</t>
  </si>
  <si>
    <t>B91.54.355.0300</t>
  </si>
  <si>
    <t>B91.54.355.0400</t>
  </si>
  <si>
    <t>B91.54.355.0500</t>
  </si>
  <si>
    <t>MOTOR SPACER, AJ=100, T=4</t>
  </si>
  <si>
    <t>GUF-P 2000 DRIVE AC</t>
  </si>
  <si>
    <t>GUF-P 2000 DRIVE AG LEFT</t>
  </si>
  <si>
    <t>GUF-P 2000 DRIVE AG RIGHT</t>
  </si>
  <si>
    <t>GUF-P 2000 DRIVE AM LEFT</t>
  </si>
  <si>
    <t>GUF-P 2000 DRIVE AM RIGHT</t>
  </si>
  <si>
    <t>GUF-P 2000 DRIVE AS LEFT</t>
  </si>
  <si>
    <t>GUF-P 2000 DRIVE AS RIGHT</t>
  </si>
  <si>
    <t>GUF-P 2000 DRIVE AU</t>
  </si>
  <si>
    <t>GUF-P 2000 AW LEFT (SEW)</t>
  </si>
  <si>
    <t>GUF-P 2000 AW RIGHT (SEW)</t>
  </si>
  <si>
    <t>GUF-P 2000 AW LEFT (SML.BOD)</t>
  </si>
  <si>
    <t>GUF-P 2000 AW RIGHT (SML.BOD)</t>
  </si>
  <si>
    <t>GUF-P 2000/50 BA WIDTH VARS</t>
  </si>
  <si>
    <t>GUF-P 2000/100 BA WIDTH VARS.</t>
  </si>
  <si>
    <t>GUF-P 2000/150 BA WIDTH VARS.</t>
  </si>
  <si>
    <t>GUF-P 2000/200 BA WIDTH VARS.</t>
  </si>
  <si>
    <t>GUF-P 2000/250 BA WIDTH VARS.</t>
  </si>
  <si>
    <t>GUF-P 2000/300 BA WIDTH VARS.</t>
  </si>
  <si>
    <t>GUF-P 2000/400 BA WIDTH VARS.</t>
  </si>
  <si>
    <t>GUF-P 2000/500 BA WIDTH VARS.</t>
  </si>
  <si>
    <t>GUF-P 2000/600 BA WIDTH VARS.</t>
  </si>
  <si>
    <t>GUF-P 2000/700 BA WIDTH VARS.</t>
  </si>
  <si>
    <t>GUF-P 2000/800 BA WIDTH VARS</t>
  </si>
  <si>
    <t>GUF-P 2000 DRIVE BA</t>
  </si>
  <si>
    <t>GUF-P 2000 DRIVE BC</t>
  </si>
  <si>
    <t>GUF-P 2000 DRIVE BE</t>
  </si>
  <si>
    <t>GUF-P 2000/50 BG WIDTH VARS.</t>
  </si>
  <si>
    <t>GUF-P 2000/100 BG WIDTH VARS.</t>
  </si>
  <si>
    <t>GUF-P 2000/150 BG WIDTH VARS.</t>
  </si>
  <si>
    <t>GUF-P 2000/200 BG WIDTH VARS.</t>
  </si>
  <si>
    <t>GUF-P 2000/250 BG WIDTH VARS.</t>
  </si>
  <si>
    <t>GUF-P 2000/300 BG WIDTH VARS</t>
  </si>
  <si>
    <t>GUF-P 2000/400 BG WIDTH VARS.</t>
  </si>
  <si>
    <t>GUF-P 2000/500 BG WIDTH VARS.</t>
  </si>
  <si>
    <t>GUF-P 2000/600 BG WIDTH VARS.</t>
  </si>
  <si>
    <t>GUF-P 2000/700 BG WIDTH VARS.</t>
  </si>
  <si>
    <t>GUF-P 2000/800 BG WIDTH VARS.</t>
  </si>
  <si>
    <t>GUF-P 2000 DRIVE BI</t>
  </si>
  <si>
    <t>WEAR STRIP MK 1001</t>
  </si>
  <si>
    <t>WEAR STRIP MK 1030</t>
  </si>
  <si>
    <t>WEAR STRIP 1031</t>
  </si>
  <si>
    <t>WEAR STRIP MK 1043</t>
  </si>
  <si>
    <t>SUPPORT BRACKET*</t>
  </si>
  <si>
    <t>SIDE RAIL HOLDER, 30X55MM</t>
  </si>
  <si>
    <t>SIDE RAIL HOLDER, 30X75MM</t>
  </si>
  <si>
    <t>AF</t>
  </si>
  <si>
    <t>L1/L2</t>
  </si>
  <si>
    <t>SF 7.1 Cutout lengths:</t>
  </si>
  <si>
    <t>xxx</t>
  </si>
  <si>
    <t>Drive Side:</t>
  </si>
  <si>
    <t>&gt; 80mpm</t>
  </si>
  <si>
    <t>const speed range</t>
  </si>
  <si>
    <t>% of req. speed</t>
  </si>
  <si>
    <t>Tail Option (Infeed)</t>
  </si>
  <si>
    <t>Tail Option (Discharge)</t>
  </si>
  <si>
    <t>Length:</t>
  </si>
  <si>
    <t>Speed Is:</t>
  </si>
  <si>
    <t>Bore &amp; Broach</t>
  </si>
  <si>
    <t>Sprocket rework</t>
  </si>
  <si>
    <t>Sprocket rework?</t>
  </si>
  <si>
    <t>quote106</t>
  </si>
  <si>
    <t>inches</t>
  </si>
  <si>
    <t>Kg</t>
  </si>
  <si>
    <t>Customer Spec's</t>
  </si>
  <si>
    <t>Accumulation?</t>
  </si>
  <si>
    <t>HP Motor</t>
  </si>
  <si>
    <t>lbf-in torque</t>
  </si>
  <si>
    <t>% of req. torque</t>
  </si>
  <si>
    <t>% of req. Hp</t>
  </si>
  <si>
    <t>If no sprockets, select motor manually.</t>
  </si>
  <si>
    <t>Production Summary</t>
  </si>
  <si>
    <r>
      <t xml:space="preserve">temperature range </t>
    </r>
    <r>
      <rPr>
        <sz val="12"/>
        <rFont val="Calibri"/>
        <family val="2"/>
      </rPr>
      <t>°</t>
    </r>
    <r>
      <rPr>
        <sz val="11.4"/>
        <rFont val="Arial"/>
        <family val="2"/>
      </rPr>
      <t>F</t>
    </r>
  </si>
  <si>
    <t>Version AS Above?</t>
  </si>
  <si>
    <t>p12q2</t>
  </si>
  <si>
    <t>Voltage (motor)</t>
  </si>
  <si>
    <t>Voltage (control input)</t>
  </si>
  <si>
    <t>p41q1</t>
  </si>
  <si>
    <t>P31.30.001</t>
  </si>
  <si>
    <t>P31.30.002</t>
  </si>
  <si>
    <t>Plug</t>
  </si>
  <si>
    <t>P31.99.100</t>
  </si>
  <si>
    <t>P31.99.300</t>
  </si>
  <si>
    <t>P31.99.101</t>
  </si>
  <si>
    <t>P31.99.201</t>
  </si>
  <si>
    <t>P31.99.202</t>
  </si>
  <si>
    <t>P31.99.102</t>
  </si>
  <si>
    <t>P31.99.203</t>
  </si>
  <si>
    <t>P31.99.103</t>
  </si>
  <si>
    <t>P31.99.204</t>
  </si>
  <si>
    <t>P31.99.205</t>
  </si>
  <si>
    <t>CORD &amp; PLUG</t>
  </si>
  <si>
    <t>16/3 CORD, 300V</t>
  </si>
  <si>
    <t>16/4 CORD, 300V</t>
  </si>
  <si>
    <t>16/4 CORD, 600V</t>
  </si>
  <si>
    <t>PLUG, NEMA 5-15</t>
  </si>
  <si>
    <t>PLUG, NEMA 6-15</t>
  </si>
  <si>
    <t>PLUG, NEMA L15-20</t>
  </si>
  <si>
    <t>PLUG, NEMA L16-20</t>
  </si>
  <si>
    <t>PLUG, NEMA L17-30</t>
  </si>
  <si>
    <t>CORD GRIP, NEMA 4X, 6</t>
  </si>
  <si>
    <t>SEW &amp; AS?</t>
  </si>
  <si>
    <t>P31.30.050</t>
  </si>
  <si>
    <t>P31.30.060</t>
  </si>
  <si>
    <t>KB F-S-R SWITCH</t>
  </si>
  <si>
    <t>KB AC LINE ON/OFF SWITCH</t>
  </si>
  <si>
    <t>KB CONTROL</t>
  </si>
  <si>
    <t>5% Slower</t>
  </si>
  <si>
    <t>NEMA cover</t>
  </si>
  <si>
    <t>Grip</t>
  </si>
  <si>
    <t>Frame (SS)</t>
  </si>
  <si>
    <t>V3.60</t>
  </si>
  <si>
    <t xml:space="preserve">Slider is 1220 long, </t>
  </si>
  <si>
    <t>Slider BB 700, 800</t>
  </si>
  <si>
    <t>Each requires 1/3 of a full sheet</t>
  </si>
  <si>
    <t>SF 1.3 Sheet requirement</t>
  </si>
  <si>
    <t>Pcs @ 1220:</t>
  </si>
  <si>
    <t>quote111</t>
  </si>
  <si>
    <t>BOM_01</t>
  </si>
  <si>
    <t>BB net (for sheet)</t>
  </si>
  <si>
    <t>@ 1220, pieces/sheet possible.</t>
  </si>
  <si>
    <t>quote112</t>
  </si>
  <si>
    <t>quote113</t>
  </si>
  <si>
    <t>Armature</t>
  </si>
  <si>
    <t>Fuse</t>
  </si>
  <si>
    <t>Resistor</t>
  </si>
  <si>
    <t>Speed Control Model</t>
  </si>
  <si>
    <t>Adapter Plate</t>
  </si>
  <si>
    <t>Vlookup (other)</t>
  </si>
  <si>
    <t>Selected Motor</t>
  </si>
  <si>
    <t>Bodine w/6' cord?</t>
  </si>
  <si>
    <t>No Motor</t>
  </si>
  <si>
    <t>AS rework</t>
  </si>
  <si>
    <t>Adapter Plate?</t>
  </si>
  <si>
    <r>
      <t xml:space="preserve">Showing </t>
    </r>
    <r>
      <rPr>
        <b/>
        <sz val="12"/>
        <rFont val="Arial"/>
        <family val="2"/>
      </rPr>
      <t>Left</t>
    </r>
    <r>
      <rPr>
        <sz val="12"/>
        <rFont val="Arial"/>
        <family val="2"/>
      </rPr>
      <t xml:space="preserve"> drive locations</t>
    </r>
  </si>
  <si>
    <t>try to look up motor one time,</t>
  </si>
  <si>
    <t>then that motor only.</t>
  </si>
  <si>
    <r>
      <rPr>
        <sz val="12"/>
        <rFont val="Arial"/>
        <family val="2"/>
      </rPr>
      <t xml:space="preserve">Galvanized </t>
    </r>
    <r>
      <rPr>
        <sz val="10"/>
        <rFont val="Arial"/>
        <family val="2"/>
      </rPr>
      <t xml:space="preserve">or </t>
    </r>
    <r>
      <rPr>
        <sz val="12"/>
        <rFont val="Arial"/>
        <family val="2"/>
      </rPr>
      <t xml:space="preserve">Stainless </t>
    </r>
    <r>
      <rPr>
        <sz val="10"/>
        <rFont val="Arial"/>
        <family val="2"/>
      </rPr>
      <t>slider:</t>
    </r>
  </si>
  <si>
    <t>Galvanized</t>
  </si>
  <si>
    <t>Slider Bed</t>
  </si>
  <si>
    <t>P0Q14</t>
  </si>
  <si>
    <t>5/7 was 1.5</t>
  </si>
  <si>
    <t>Frame (Galvanized)</t>
  </si>
  <si>
    <t>Price_01</t>
  </si>
  <si>
    <t>Price_02</t>
  </si>
  <si>
    <t>Price_03</t>
  </si>
  <si>
    <t>Stringers (for Stand)</t>
  </si>
  <si>
    <t>Stand Type:</t>
  </si>
  <si>
    <t>p10q11</t>
  </si>
  <si>
    <t>Floor</t>
  </si>
  <si>
    <t>p10q12</t>
  </si>
  <si>
    <t>p10q13</t>
  </si>
  <si>
    <t>qty</t>
  </si>
  <si>
    <t>P10Q10</t>
  </si>
  <si>
    <t>Baldor</t>
  </si>
  <si>
    <t>GPP 12547</t>
  </si>
  <si>
    <t>BC138</t>
  </si>
  <si>
    <t>90 VDC</t>
  </si>
  <si>
    <t>GPP 12545</t>
  </si>
  <si>
    <t>GPP 12544</t>
  </si>
  <si>
    <t>GPP 12543</t>
  </si>
  <si>
    <t>GPP 12542</t>
  </si>
  <si>
    <t>GPP 12541</t>
  </si>
  <si>
    <t>GPP 12540</t>
  </si>
  <si>
    <t>GPP 7459</t>
  </si>
  <si>
    <t>GPP 7462</t>
  </si>
  <si>
    <t>GPP 7458</t>
  </si>
  <si>
    <t>GPP 7457</t>
  </si>
  <si>
    <t>GPP 7461</t>
  </si>
  <si>
    <t>GPP 7456</t>
  </si>
  <si>
    <t>GPP 7460</t>
  </si>
  <si>
    <t>GPP 7455</t>
  </si>
  <si>
    <t>GPP 7454</t>
  </si>
  <si>
    <t>GPP 7453</t>
  </si>
  <si>
    <t>GPP 7452</t>
  </si>
  <si>
    <t>GPP 7451</t>
  </si>
  <si>
    <t>GPP 7450</t>
  </si>
  <si>
    <t>GPP 2530</t>
  </si>
  <si>
    <t>GPP 2534</t>
  </si>
  <si>
    <t>GPP 2538</t>
  </si>
  <si>
    <t>GPP 3340</t>
  </si>
  <si>
    <t>BC140</t>
  </si>
  <si>
    <t>GPP 3344</t>
  </si>
  <si>
    <t>GPP 3348</t>
  </si>
  <si>
    <r>
      <t xml:space="preserve">Preferred </t>
    </r>
    <r>
      <rPr>
        <sz val="12"/>
        <rFont val="Arial"/>
        <family val="2"/>
      </rPr>
      <t>Motor Manufacturer:</t>
    </r>
  </si>
  <si>
    <t>RPM required.</t>
  </si>
  <si>
    <t>quote82</t>
  </si>
  <si>
    <t>Armature Fuse</t>
  </si>
  <si>
    <t>quote83</t>
  </si>
  <si>
    <t>Price_04</t>
  </si>
  <si>
    <t>Stringer angles</t>
  </si>
  <si>
    <t>Price_05</t>
  </si>
  <si>
    <t>quote25</t>
  </si>
  <si>
    <t>Leveling Stands 55.1 (Fixed Portion)</t>
  </si>
  <si>
    <t>Price_06</t>
  </si>
  <si>
    <t>Price_07</t>
  </si>
  <si>
    <t>Price_08</t>
  </si>
  <si>
    <t>sf1.3</t>
  </si>
  <si>
    <t>sf7.1</t>
  </si>
  <si>
    <t>wrong ht</t>
  </si>
  <si>
    <t>2 hts</t>
  </si>
  <si>
    <t>p7q7</t>
  </si>
  <si>
    <t>With UHMW backing?</t>
  </si>
  <si>
    <t>Vertical Max:</t>
  </si>
  <si>
    <t>Horizontal Min:</t>
  </si>
  <si>
    <t>Vertical Min:</t>
  </si>
  <si>
    <t>Horizontal Max:</t>
  </si>
  <si>
    <t>to belt</t>
  </si>
  <si>
    <t>Price_09</t>
  </si>
  <si>
    <t>P7Q2,5</t>
  </si>
  <si>
    <t>Price_10</t>
  </si>
  <si>
    <t>Price_11</t>
  </si>
  <si>
    <t>HSF03</t>
  </si>
  <si>
    <t>Rail System 7.1 (Price / Side)</t>
  </si>
  <si>
    <t>Rail System HSF03 (with UHMW) (Price/Side)</t>
  </si>
  <si>
    <t>11.</t>
  </si>
  <si>
    <t>12.</t>
  </si>
  <si>
    <t>sides</t>
  </si>
  <si>
    <t>All applications must be reviewed and confirmed Yushin America, Inc.</t>
  </si>
  <si>
    <t>© Yushin America, Inc.</t>
  </si>
  <si>
    <t>35 Kenney Drive</t>
  </si>
  <si>
    <t>Cranston, RI  02920</t>
  </si>
  <si>
    <t>Tel: 401 463-1800</t>
  </si>
  <si>
    <t>Fax: 401 463-1810</t>
  </si>
  <si>
    <t>Salesinfo@yushin.com</t>
  </si>
  <si>
    <t>www.yushinamerica.com</t>
  </si>
  <si>
    <t>I understand that this software is provided by Yushin America, Inc. "as is" and any express or implied</t>
  </si>
  <si>
    <t>warranties, including, but not limited to, the implied warranties or merchantability and suitability for a</t>
  </si>
  <si>
    <t xml:space="preserve">particular purpose are disclaimed. </t>
  </si>
  <si>
    <t>In no event shall Yushin America, Inc. be liable for any direct, indirect, incidental, special, examplary,</t>
  </si>
  <si>
    <t>or consequential damages (including, but not limited to, procurement of substitute goods or service;</t>
  </si>
  <si>
    <t>loss of use, data, or profits; or business interruption) however caused and on any theory of liability,</t>
  </si>
  <si>
    <t>whether in contract, strict liability, or tort (including negligence or otherwise) arising in any way out of</t>
  </si>
  <si>
    <t>the use of this software, even if advised of the possibility of such damage.</t>
  </si>
  <si>
    <t xml:space="preserve">  from end.</t>
  </si>
  <si>
    <t>- Can be mounted below.</t>
  </si>
  <si>
    <t>Conveyor Specifications</t>
  </si>
  <si>
    <t>Drive Locations</t>
  </si>
  <si>
    <t>Belts</t>
  </si>
  <si>
    <t>Rails, Fixed</t>
  </si>
  <si>
    <t>$$$$</t>
  </si>
  <si>
    <t>Rails, Adjustable</t>
  </si>
  <si>
    <t>Leveling Stand</t>
  </si>
  <si>
    <t>Note:</t>
  </si>
  <si>
    <t>Conveyors can be lowered by adjusting the location of the stand mounting angles.</t>
  </si>
  <si>
    <t>General purpose, heavy</t>
  </si>
  <si>
    <r>
      <t xml:space="preserve">Thank you for your interest in our </t>
    </r>
    <r>
      <rPr>
        <sz val="11"/>
        <rFont val="Calibri"/>
        <family val="2"/>
      </rPr>
      <t>Belt Conveyors.</t>
    </r>
  </si>
  <si>
    <t>Flat Belt Conveyor</t>
  </si>
  <si>
    <t>salesinfo@yushin.com</t>
  </si>
  <si>
    <t>Bodine Speed control</t>
  </si>
  <si>
    <t>115 VAC line input, 130 VDC Output</t>
  </si>
  <si>
    <t xml:space="preserve">    Stated lead times do not begin until after receipt of approved prints by Yushin.</t>
  </si>
  <si>
    <t>●  Shipping lead times are subject to quantity and/or production capacity at time of order.</t>
  </si>
  <si>
    <t>cc:</t>
  </si>
  <si>
    <t>var speed range yushin</t>
  </si>
  <si>
    <t>No Accumulation</t>
  </si>
  <si>
    <t>48301                         157252                        46046                          46038                          500228</t>
  </si>
  <si>
    <t>Yushin NET</t>
  </si>
  <si>
    <t>Yushin Markup</t>
  </si>
  <si>
    <t>Head ($)</t>
  </si>
  <si>
    <t>Q5(7)</t>
  </si>
  <si>
    <t>Leveling pads compensate for uneven floors and provide ca. +/- 2.0" of height adjustment.</t>
  </si>
  <si>
    <t>Code:</t>
  </si>
  <si>
    <t>- Standard end drive</t>
  </si>
  <si>
    <t>Select Above or Below</t>
  </si>
  <si>
    <t>For "above" mounting,</t>
  </si>
  <si>
    <t>Note</t>
  </si>
  <si>
    <t>Product Accumulation</t>
  </si>
  <si>
    <t>If the application calls for holding product back while the conveyor is still running, please indicate this</t>
  </si>
  <si>
    <t>by selecting "Yes" in the accumulation box.</t>
  </si>
  <si>
    <t>This information is required in order to properly size the motor.</t>
  </si>
  <si>
    <t>460445</t>
  </si>
  <si>
    <t>"Yushin Blue"</t>
  </si>
  <si>
    <t>Controls</t>
  </si>
  <si>
    <t>Standard control with variable speed capability (included with conveyor)</t>
  </si>
  <si>
    <r>
      <rPr>
        <sz val="12"/>
        <color indexed="30"/>
        <rFont val="Arial"/>
        <family val="2"/>
      </rPr>
      <t>●</t>
    </r>
    <r>
      <rPr>
        <sz val="12"/>
        <rFont val="Arial"/>
        <family val="2"/>
      </rPr>
      <t xml:space="preserve">  Operates off 115 Volt AC line.</t>
    </r>
  </si>
  <si>
    <r>
      <rPr>
        <sz val="12"/>
        <color indexed="30"/>
        <rFont val="Arial"/>
        <family val="2"/>
      </rPr>
      <t>●</t>
    </r>
    <r>
      <rPr>
        <sz val="12"/>
        <rFont val="Arial"/>
        <family val="2"/>
      </rPr>
      <t xml:space="preserve">  Filtered DC output for cooler motor operation, longer brush life,</t>
    </r>
  </si>
  <si>
    <t xml:space="preserve">     lower audible noise, and wider speed range.</t>
  </si>
  <si>
    <r>
      <rPr>
        <sz val="12"/>
        <color indexed="30"/>
        <rFont val="Arial"/>
        <family val="2"/>
      </rPr>
      <t>●</t>
    </r>
    <r>
      <rPr>
        <sz val="12"/>
        <rFont val="Arial"/>
        <family val="2"/>
      </rPr>
      <t xml:space="preserve">  NEMA 1 enclosure for environmental protection.</t>
    </r>
  </si>
  <si>
    <r>
      <rPr>
        <sz val="12"/>
        <color indexed="30"/>
        <rFont val="Arial"/>
        <family val="2"/>
      </rPr>
      <t>●</t>
    </r>
    <r>
      <rPr>
        <sz val="12"/>
        <rFont val="Arial"/>
        <family val="2"/>
      </rPr>
      <t xml:space="preserve">  Trimpots on PC board to adjust torque limit, minimum speed limit,</t>
    </r>
  </si>
  <si>
    <t xml:space="preserve">     maximum speed limit, acceleration time, and voltage regulation.</t>
  </si>
  <si>
    <r>
      <rPr>
        <sz val="12"/>
        <color indexed="30"/>
        <rFont val="Arial"/>
        <family val="2"/>
      </rPr>
      <t>●</t>
    </r>
    <r>
      <rPr>
        <sz val="12"/>
        <rFont val="Arial"/>
        <family val="2"/>
      </rPr>
      <t xml:space="preserve">  Speed can be adjusted  manually using speed  pot mounted on enclosure.</t>
    </r>
  </si>
  <si>
    <r>
      <rPr>
        <sz val="12"/>
        <color indexed="30"/>
        <rFont val="Arial"/>
        <family val="2"/>
      </rPr>
      <t>●</t>
    </r>
    <r>
      <rPr>
        <sz val="12"/>
        <rFont val="Arial"/>
        <family val="2"/>
      </rPr>
      <t xml:space="preserve">  Toggle switch on enclosure indicates AC power on.</t>
    </r>
  </si>
  <si>
    <r>
      <rPr>
        <sz val="12"/>
        <color indexed="30"/>
        <rFont val="Arial"/>
        <family val="2"/>
      </rPr>
      <t>●</t>
    </r>
    <r>
      <rPr>
        <sz val="12"/>
        <rFont val="Arial"/>
        <family val="2"/>
      </rPr>
      <t xml:space="preserve">  Factory installed AC line cable.</t>
    </r>
  </si>
  <si>
    <t>Conveyor Detection Options</t>
  </si>
  <si>
    <r>
      <rPr>
        <sz val="12"/>
        <color indexed="30"/>
        <rFont val="Arial"/>
        <family val="2"/>
      </rPr>
      <t>●</t>
    </r>
    <r>
      <rPr>
        <sz val="12"/>
        <rFont val="Arial"/>
        <family val="2"/>
      </rPr>
      <t xml:space="preserve">  5"x7" Electrical enclosure to mount on conveyor side rail.</t>
    </r>
  </si>
  <si>
    <r>
      <rPr>
        <sz val="12"/>
        <color indexed="30"/>
        <rFont val="Arial"/>
        <family val="2"/>
      </rPr>
      <t>●</t>
    </r>
    <r>
      <rPr>
        <sz val="12"/>
        <rFont val="Arial"/>
        <family val="2"/>
      </rPr>
      <t xml:space="preserve">  Keyence sensors inclusive of leads and wiring.</t>
    </r>
  </si>
  <si>
    <t>Sensor set for "drop-zone clear" detection</t>
  </si>
  <si>
    <t>Additional sensor set for "conveyor full" detection</t>
  </si>
  <si>
    <t>Option 01</t>
  </si>
  <si>
    <t>Option 02</t>
  </si>
  <si>
    <t>Option 03</t>
  </si>
  <si>
    <t>by Yushin</t>
  </si>
  <si>
    <t>Net price to Yushin</t>
  </si>
  <si>
    <t>* Drop zone clear sensor</t>
  </si>
  <si>
    <t>* conveyor full detection</t>
  </si>
  <si>
    <t>* Robot interface and indexing</t>
  </si>
  <si>
    <t>Net to Customer (mk portion)</t>
  </si>
  <si>
    <t>* Installed by/at Yushin</t>
  </si>
  <si>
    <t xml:space="preserve">    Center ($$$)</t>
  </si>
  <si>
    <t>Version AC (below)</t>
  </si>
  <si>
    <t>Version AC (above)</t>
  </si>
  <si>
    <t>maximum 1.5"</t>
  </si>
  <si>
    <t>clearance between</t>
  </si>
  <si>
    <t>motor and belt.</t>
  </si>
  <si>
    <t>Height to belt:</t>
  </si>
  <si>
    <t>Control Options:</t>
  </si>
  <si>
    <t>Option_sum</t>
  </si>
  <si>
    <t>Addition of robot interface cable and indexing option to above control box</t>
  </si>
  <si>
    <t>Detection Options:</t>
  </si>
  <si>
    <t>0-20</t>
  </si>
  <si>
    <t>21-40</t>
  </si>
  <si>
    <t>41-60</t>
  </si>
  <si>
    <t>Load Range</t>
  </si>
  <si>
    <t>Speed Range</t>
  </si>
  <si>
    <t>3-30</t>
  </si>
  <si>
    <t>6-60</t>
  </si>
  <si>
    <r>
      <t>Enter S</t>
    </r>
    <r>
      <rPr>
        <sz val="12"/>
        <rFont val="Arial"/>
        <family val="2"/>
      </rPr>
      <t>peed Range:</t>
    </r>
  </si>
  <si>
    <t>Product Load:</t>
  </si>
  <si>
    <t>Slider Bed:</t>
  </si>
  <si>
    <t>*</t>
  </si>
  <si>
    <t>Rework #</t>
  </si>
  <si>
    <t>L, mm</t>
  </si>
  <si>
    <t>Vendor Part #/Notes</t>
  </si>
  <si>
    <t>Vendor</t>
  </si>
  <si>
    <t>Filtered</t>
  </si>
  <si>
    <t>Purchase</t>
  </si>
  <si>
    <t>Ammeraal</t>
  </si>
  <si>
    <t>SEW Motor</t>
  </si>
  <si>
    <t>Make / Service</t>
  </si>
  <si>
    <t>Profile Service</t>
  </si>
  <si>
    <t>3AA.50.019</t>
  </si>
  <si>
    <t>Console Rework</t>
  </si>
  <si>
    <t>Tap M8x1</t>
  </si>
  <si>
    <t>Tap frame as req. for adj. screws</t>
  </si>
  <si>
    <t>Assembly</t>
  </si>
  <si>
    <t>Inventory Parts</t>
  </si>
  <si>
    <t>Drive Assembly</t>
  </si>
  <si>
    <t>Frame Extension</t>
  </si>
  <si>
    <t>at Motor</t>
  </si>
  <si>
    <t>at Drive</t>
  </si>
  <si>
    <t>Side Rails</t>
  </si>
  <si>
    <t>Requires Service</t>
  </si>
  <si>
    <t xml:space="preserve"> </t>
  </si>
  <si>
    <t>Bodine 130 VDC motor</t>
  </si>
  <si>
    <t>GUF-P 2000//0--13-</t>
  </si>
  <si>
    <t>L16= 0 (mm)</t>
  </si>
  <si>
    <t>Frame Slider, SS</t>
  </si>
  <si>
    <t>Frame Slider, Galv.</t>
  </si>
  <si>
    <t>P57.03.100</t>
  </si>
  <si>
    <t>P57.03.150</t>
  </si>
  <si>
    <t>P57.03.200</t>
  </si>
  <si>
    <t>P57.03.250</t>
  </si>
  <si>
    <t>P57.03.300</t>
  </si>
  <si>
    <t>P57.03.400</t>
  </si>
  <si>
    <t>P57.03.500</t>
  </si>
  <si>
    <t>P57.03.600</t>
  </si>
  <si>
    <t>P57.03.700</t>
  </si>
  <si>
    <t>P57.03.800</t>
  </si>
  <si>
    <t>P57.03.050</t>
  </si>
  <si>
    <t>P57.03.000</t>
  </si>
  <si>
    <t>GALVANIZED STEEL SHEET, 48" X 96"</t>
  </si>
  <si>
    <t>SS SLIDER, 49X1500X1.0MM</t>
  </si>
  <si>
    <t>SS SLIDER, 149X1500X1.0MM</t>
  </si>
  <si>
    <t>SS SLIDER, 199X1500X1.0MM</t>
  </si>
  <si>
    <t>SS SLIDER, 249X1500X1.0MM</t>
  </si>
  <si>
    <t>SS SLIDER, 299X1500X1.0MM</t>
  </si>
  <si>
    <t>SS SLIDER, 399X1500X1.0MM</t>
  </si>
  <si>
    <t>SS SLIDER, 499X1500X1.0MM</t>
  </si>
  <si>
    <t>SS SLIDER, 599X1500X1.0MM</t>
  </si>
  <si>
    <t>SS SLIDER, 99X1500X1.0MM</t>
  </si>
  <si>
    <t>GALV. SLIDER, 99X1500X1.0MM</t>
  </si>
  <si>
    <t>GALV. SLIDER, 149X1500X1.0MM</t>
  </si>
  <si>
    <t>GALV. SLIDER, 199X1500X1.0MM</t>
  </si>
  <si>
    <t>GALV. SLIDER, 249X1500X1.0MM</t>
  </si>
  <si>
    <t>GALV. SLIDER, 299X1500X1.0MM</t>
  </si>
  <si>
    <t>GALV. SLIDER, 399X1500X1.0MM</t>
  </si>
  <si>
    <t>GALV. SLIDER, 499X1500X1.0MM</t>
  </si>
  <si>
    <t>GALV. SLIDER, 599X1500X1.0MM</t>
  </si>
  <si>
    <t>GALV. SLIDER, 49X1500X1.0MM</t>
  </si>
  <si>
    <t>Req. Ratio</t>
  </si>
  <si>
    <t>quote76a</t>
  </si>
  <si>
    <t>100% Faster</t>
  </si>
  <si>
    <t>No suitable motor found. Reduce load, speed or size (Page 0).</t>
  </si>
  <si>
    <t>Rail Machining</t>
  </si>
  <si>
    <t>D09331230</t>
  </si>
  <si>
    <t>K111010019</t>
  </si>
  <si>
    <t>M12x30 HEX HEAD SCREW</t>
  </si>
  <si>
    <t>12MM RIB WASHER</t>
  </si>
  <si>
    <t>51.14.</t>
  </si>
  <si>
    <t>PROFILE MK 2000 LIGHT</t>
  </si>
  <si>
    <t>P31.05.001</t>
  </si>
  <si>
    <t>P31.05.002</t>
  </si>
  <si>
    <t>P31.05.003</t>
  </si>
  <si>
    <t>P31.05.004</t>
  </si>
  <si>
    <t>P31.05.005</t>
  </si>
  <si>
    <t>P31.05.006</t>
  </si>
  <si>
    <t>P31.05.007</t>
  </si>
  <si>
    <t>P31.05.008</t>
  </si>
  <si>
    <t>P31.05.009</t>
  </si>
  <si>
    <t>P31.05.010</t>
  </si>
  <si>
    <t>P31.05.011</t>
  </si>
  <si>
    <t>P31.05.012</t>
  </si>
  <si>
    <t>BODINE MOTOR #1072</t>
  </si>
  <si>
    <t>BODINE MOTOR #1070</t>
  </si>
  <si>
    <t>BODINE MOTOR #1068</t>
  </si>
  <si>
    <t>BODINE MOTOR #1066</t>
  </si>
  <si>
    <t>BODINE MOTOR #1064</t>
  </si>
  <si>
    <t>BODINE MOTOR #1062</t>
  </si>
  <si>
    <t>BODINE MOTOR #1060</t>
  </si>
  <si>
    <t>BODINE MOTOR #1058</t>
  </si>
  <si>
    <t>BODINE MOTOR #1056</t>
  </si>
  <si>
    <t>BODINE MOTOR #1054</t>
  </si>
  <si>
    <t>BODINE MOTOR #1052</t>
  </si>
  <si>
    <t>BODINE MOTOR #1050</t>
  </si>
  <si>
    <t>●  Delivery lead times do not include transit time</t>
  </si>
  <si>
    <t>●  All items not specifically called out as included in this proposal are NOT included</t>
  </si>
  <si>
    <t>●  Any changes to this quotation (i.e. belt material, length, motor type, speed, etc. will require</t>
  </si>
  <si>
    <t xml:space="preserve">    a revised quotation prior to ordering</t>
  </si>
  <si>
    <t>of order, 1/3 received prior to shipping, 1/3 Net 30</t>
  </si>
  <si>
    <t>Conditions:</t>
  </si>
  <si>
    <t xml:space="preserve">   -   Purchase Orders must be issued to Yushin America, Inc. All remittances must be paid in U.S. currency</t>
  </si>
  <si>
    <t xml:space="preserve">   -   If funds are to be drawing from a foreign source (outside the U.S.), payments must be wired to our</t>
  </si>
  <si>
    <t xml:space="preserve">       banking institution by electronic wire transfer</t>
  </si>
  <si>
    <t xml:space="preserve">   -   Invoices not paid within terms may be subject to a 1.5% interest retroactive from the </t>
  </si>
  <si>
    <t xml:space="preserve">       date (18% annually) and any collection and legal fees incurred.</t>
  </si>
  <si>
    <t xml:space="preserve">   -   Payment terms arebased on approved credit.</t>
  </si>
  <si>
    <t xml:space="preserve">   -   Prices are firm for 30 days</t>
  </si>
  <si>
    <t xml:space="preserve">   -   Prices do not include any provision for state or local taxes unless otherwise stated.</t>
  </si>
  <si>
    <t xml:space="preserve">   -   Cancellation of purchase order(s) is subject to cancellation fees.</t>
  </si>
  <si>
    <r>
      <rPr>
        <u/>
        <sz val="11"/>
        <rFont val="Calibri"/>
        <family val="2"/>
      </rPr>
      <t>Payment Terms (U.S and PR):</t>
    </r>
    <r>
      <rPr>
        <sz val="10"/>
        <rFont val="Calibri"/>
        <family val="2"/>
      </rPr>
      <t xml:space="preserve"> Under $ 30,000 - Net 30. Over $ 30,000 - 1/3 upon receipt</t>
    </r>
  </si>
  <si>
    <r>
      <rPr>
        <u/>
        <sz val="11"/>
        <rFont val="Calibri"/>
        <family val="2"/>
      </rPr>
      <t>Payment Terms (International):</t>
    </r>
    <r>
      <rPr>
        <sz val="10"/>
        <rFont val="Calibri"/>
        <family val="2"/>
      </rPr>
      <t xml:space="preserve"> 30% upon receipt of order, 70% prior to shipping</t>
    </r>
  </si>
  <si>
    <r>
      <rPr>
        <u/>
        <sz val="11"/>
        <rFont val="Calibri"/>
        <family val="2"/>
      </rPr>
      <t>Service Terms:</t>
    </r>
    <r>
      <rPr>
        <sz val="10"/>
        <rFont val="Calibri"/>
        <family val="2"/>
      </rPr>
      <t xml:space="preserve"> Net 15</t>
    </r>
  </si>
  <si>
    <r>
      <rPr>
        <u/>
        <sz val="11"/>
        <rFont val="Calibri"/>
        <family val="2"/>
      </rPr>
      <t>Parts Terms:</t>
    </r>
    <r>
      <rPr>
        <sz val="10"/>
        <rFont val="Calibri"/>
        <family val="2"/>
      </rPr>
      <t xml:space="preserve"> Net 30</t>
    </r>
  </si>
  <si>
    <r>
      <rPr>
        <u/>
        <sz val="11"/>
        <rFont val="Calibri"/>
        <family val="2"/>
      </rPr>
      <t>Leasing Options May Be Available</t>
    </r>
    <r>
      <rPr>
        <b/>
        <u/>
        <sz val="10"/>
        <rFont val="Calibri"/>
        <family val="2"/>
      </rPr>
      <t>:</t>
    </r>
    <r>
      <rPr>
        <sz val="10"/>
        <rFont val="Calibri"/>
        <family val="2"/>
      </rPr>
      <t xml:space="preserve"> Please contact us for additional information</t>
    </r>
  </si>
  <si>
    <t>Purchase Money Security Interest:</t>
  </si>
  <si>
    <t>Yushin America, Inc. (Seller) hereby reserves the right to file a UCC-01 Financing Statement in order</t>
  </si>
  <si>
    <t xml:space="preserve">to secure an interest in the Machinery hereafter acquired by the Buyer for which payment in full has not </t>
  </si>
  <si>
    <t xml:space="preserve">yet been received. Buyer shall join with Seller in executing one or more financing statements   </t>
  </si>
  <si>
    <t>pursuant to the Uniform Commercial Code in force in the Buyer's principal place of business in form</t>
  </si>
  <si>
    <t>satisfactory to the Seller to evidence the Seller's security interest in the Machinery. The security</t>
  </si>
  <si>
    <t>interest in the Machinery shall terminate upon receipt of payment in full of the purchase price of</t>
  </si>
  <si>
    <t>the order.</t>
  </si>
  <si>
    <t>F.O.B. Cranston RI, Port of Entry or Shipping Point (as described within)</t>
  </si>
  <si>
    <t>All Shipments are Pre-Paid and Add (PP+A)</t>
  </si>
  <si>
    <t>Actual deliveries will be determined when an order is received and will be based on current work load</t>
  </si>
  <si>
    <t>and after receipt of full information required as stated in the body of this quote.</t>
  </si>
  <si>
    <t>If a customer-specified carrier does not arrive at YAI within 24 hours of being contacted for equipment</t>
  </si>
  <si>
    <t>pickup, a $40 storage fee per day, per robot may be assesed.</t>
  </si>
  <si>
    <t>Quote88 (deleted reference 1/13/14)</t>
  </si>
  <si>
    <t>P31.05.020</t>
  </si>
  <si>
    <t>P31.05.022</t>
  </si>
  <si>
    <t>P31.05.021</t>
  </si>
  <si>
    <t>P31.05.023</t>
  </si>
  <si>
    <t>P31.05.024</t>
  </si>
  <si>
    <t>P31.05.025</t>
  </si>
  <si>
    <t>P31.05.026</t>
  </si>
  <si>
    <t>P31.05.027</t>
  </si>
  <si>
    <t>P31.05.028</t>
  </si>
  <si>
    <t>P31.05.029</t>
  </si>
  <si>
    <t>BODINE MOTOR #5049</t>
  </si>
  <si>
    <t>BODINE MOTOR #5048</t>
  </si>
  <si>
    <t>BODINE MOTOR #5047</t>
  </si>
  <si>
    <t>BODINE MOTOR #5046</t>
  </si>
  <si>
    <t>BODINE MOTOR #5045</t>
  </si>
  <si>
    <t>BODINE MOTOR #5044</t>
  </si>
  <si>
    <t>BODINE MOTOR #5043</t>
  </si>
  <si>
    <t>BODINE MOTOR #5042</t>
  </si>
  <si>
    <t>BODINE MOTOR #5041</t>
  </si>
  <si>
    <t>BODINE MOTOR #5040</t>
  </si>
  <si>
    <t>577391</t>
  </si>
  <si>
    <t>V1.10</t>
  </si>
  <si>
    <t>Changed SF7.1 range to 50mm only</t>
  </si>
  <si>
    <t/>
  </si>
  <si>
    <t>v1.11</t>
  </si>
  <si>
    <t>V1.11</t>
  </si>
  <si>
    <t>Deleted belt 46038</t>
  </si>
  <si>
    <t>Corrected 460455 belt PIW</t>
  </si>
  <si>
    <t>Added mechanical splice note to belts &gt; 20'</t>
  </si>
  <si>
    <t>Corrected profile stock lengths to 6100</t>
  </si>
  <si>
    <t>Updated Parts tab pricing</t>
  </si>
  <si>
    <t>Spare Belt</t>
  </si>
  <si>
    <t>V1.13</t>
  </si>
  <si>
    <t>Belt 577391 was still linked with A579161</t>
  </si>
  <si>
    <t>V1.14</t>
  </si>
  <si>
    <t>Yushin</t>
  </si>
  <si>
    <t>7000DB0150</t>
  </si>
  <si>
    <t>OFFSET ROD, SS</t>
  </si>
  <si>
    <t>B46.07.047</t>
  </si>
  <si>
    <t>V1.15</t>
  </si>
  <si>
    <t>Frame &gt; 600, Belt &lt;15mm</t>
  </si>
  <si>
    <t>v1.15</t>
  </si>
  <si>
    <t>Corrected stand profile upright lengths when using casters.</t>
  </si>
  <si>
    <t>Removed 76.01.0008 if using casters.</t>
  </si>
  <si>
    <t>H = 50 mm</t>
  </si>
  <si>
    <t>V1.16</t>
  </si>
  <si>
    <t>50017</t>
  </si>
  <si>
    <t>Misc. updates</t>
  </si>
  <si>
    <t>V1.17</t>
  </si>
  <si>
    <t>Replaced A579800 belt with 50017</t>
  </si>
  <si>
    <t>V1.18</t>
  </si>
  <si>
    <t>Changed V-guide/mechanical splice requirement from &gt;6096mm to &gt;=6096mm</t>
  </si>
  <si>
    <t>Added note to 'Controls' tab for 'Yushin Only'</t>
  </si>
  <si>
    <t>V1.19</t>
  </si>
  <si>
    <t>Center Drive was selecting BA drum in Parts List</t>
  </si>
  <si>
    <t>V1.20</t>
  </si>
  <si>
    <t>Updated slider lengths and reworks.</t>
  </si>
  <si>
    <t>0701VD0050</t>
  </si>
  <si>
    <t>GUF-P 2000/50 SS Slider (enter length -&gt;)</t>
  </si>
  <si>
    <t xml:space="preserve"> $          -  </t>
  </si>
  <si>
    <t>0701VD0100</t>
  </si>
  <si>
    <t>GUF-P 2000/100 SS Slider (enter length -&gt;)</t>
  </si>
  <si>
    <t>0701VD0150</t>
  </si>
  <si>
    <t>GUF-P 2000/150 SS Slider (enter length -&gt;)</t>
  </si>
  <si>
    <t>0701VD0200</t>
  </si>
  <si>
    <t>GUF-P 2000/200 SS Slider (enter length -&gt;)</t>
  </si>
  <si>
    <t>0701VD0250</t>
  </si>
  <si>
    <t>GUF-P 2000/250 SS Slider (enter length -&gt;)</t>
  </si>
  <si>
    <t>0701VD0300</t>
  </si>
  <si>
    <t>GUF-P 2000/300 SS Slider (enter length -&gt;)</t>
  </si>
  <si>
    <t>0701VD0400</t>
  </si>
  <si>
    <t>GUF-P 2000/400 SS Slider (enter length -&gt;)</t>
  </si>
  <si>
    <t>0701VD0500</t>
  </si>
  <si>
    <t>GUF-P 2000/500 SS Slider (enter length -&gt;)</t>
  </si>
  <si>
    <t>0701VD0600</t>
  </si>
  <si>
    <t>GUF-P 2000/600 SS Slider (enter length -&gt;)</t>
  </si>
  <si>
    <t>0701VN0050</t>
  </si>
  <si>
    <t>GUF-P 2000/50 Galv. Slider (enter length -&gt;)</t>
  </si>
  <si>
    <t>0701VN0100</t>
  </si>
  <si>
    <t>GUF-P 2000/100 Galv. Slider (enter length -&gt;)</t>
  </si>
  <si>
    <t>0701VN0150</t>
  </si>
  <si>
    <t>GUF-P 2000/150 Galv. Slider (enter length -&gt;)</t>
  </si>
  <si>
    <t>0701VN0200</t>
  </si>
  <si>
    <t>GUF-P 2000/200 Galv. Slider (enter length -&gt;)</t>
  </si>
  <si>
    <t>0701VN0250</t>
  </si>
  <si>
    <t>GUF-P 2000/250 Galv. Slider (enter length -&gt;)</t>
  </si>
  <si>
    <t>0701VN0300</t>
  </si>
  <si>
    <t>GUF-P 2000/300 Galv. Slider (enter length -&gt;)</t>
  </si>
  <si>
    <t>0701VN0400</t>
  </si>
  <si>
    <t>GUF-P 2000/400 Galv. Slider (enter length -&gt;)</t>
  </si>
  <si>
    <t>0701VN0500</t>
  </si>
  <si>
    <t>GUF-P 2000/500 Galv. Slider (enter length -&gt;)</t>
  </si>
  <si>
    <t>0701VN0600</t>
  </si>
  <si>
    <t>GUF-P 2000/600 Galv. Slider (enter length -&gt;)</t>
  </si>
  <si>
    <t>V1.2</t>
  </si>
  <si>
    <t>0701VB0600</t>
  </si>
  <si>
    <t>Updated from old Support Rolls</t>
  </si>
  <si>
    <t>B60.03.005</t>
  </si>
  <si>
    <t>B60.03.005.0050</t>
  </si>
  <si>
    <t>B60.03.005.0300</t>
  </si>
  <si>
    <t>B60.03.005.0400</t>
  </si>
  <si>
    <t>B60.03.005.0500</t>
  </si>
  <si>
    <t>B60.03.005.0600</t>
  </si>
  <si>
    <t>B60.03.005.0700</t>
  </si>
  <si>
    <t>B60.03.005.0800</t>
  </si>
  <si>
    <t>B60.03.005.0100</t>
  </si>
  <si>
    <t>B60.03.005.0150</t>
  </si>
  <si>
    <t>B60.03.005.0200</t>
  </si>
  <si>
    <t>B60.03.005.0250</t>
  </si>
  <si>
    <t>V1.21</t>
  </si>
  <si>
    <t>Updated Yushing markup from 1.4 to 1.55</t>
  </si>
  <si>
    <t>Updated slider length</t>
  </si>
  <si>
    <t>V1.24</t>
  </si>
  <si>
    <t>Updated mk mark-up to include an additional 8%</t>
  </si>
  <si>
    <t>Price Icr.</t>
  </si>
  <si>
    <t>Subtotal 3</t>
  </si>
  <si>
    <t>V1.25</t>
  </si>
  <si>
    <t>Version 1.26  10.19.2023</t>
  </si>
  <si>
    <t>Subtotal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</si>
</sst>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5" formatCode="&quot;$&quot;#,##0_);\(&quot;$&quot;#,##0\)"/>
    <numFmt numFmtId="44" formatCode="_(&quot;$&quot;* #,##0.00_);_(&quot;$&quot;* \(#,##0.00\);_(&quot;$&quot;* &quot;-&quot;??_);_(@_)"/>
    <numFmt numFmtId="164" formatCode="0.000"/>
    <numFmt numFmtId="165" formatCode="0.0000"/>
    <numFmt numFmtId="166" formatCode="0.0"/>
    <numFmt numFmtId="167" formatCode="_(&quot;$&quot;* #,##0_);_(&quot;$&quot;* \(#,##0\);_(&quot;$&quot;* &quot;-&quot;??_);_(@_)"/>
    <numFmt numFmtId="168" formatCode="&quot;$&quot;#,##0.00"/>
    <numFmt numFmtId="169" formatCode="[&lt;=9999999]###\-####;\(###\)\ ###\-####"/>
    <numFmt numFmtId="170" formatCode="[$-409]mmmm\ d\,\ yyyy;@"/>
    <numFmt numFmtId="171" formatCode="0.0%"/>
    <numFmt numFmtId="172" formatCode=";;;"/>
    <numFmt numFmtId="173" formatCode="mm/dd/yy;@"/>
  </numFmts>
  <fonts count="75" x14ac:knownFonts="1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12"/>
      <name val="Arial"/>
      <family val="2"/>
    </font>
    <font>
      <b/>
      <vertAlign val="superscript"/>
      <sz val="10"/>
      <color indexed="12"/>
      <name val="Arial"/>
      <family val="2"/>
    </font>
    <font>
      <b/>
      <sz val="10"/>
      <color indexed="9"/>
      <name val="Arial"/>
      <family val="2"/>
    </font>
    <font>
      <u/>
      <sz val="10"/>
      <color indexed="12"/>
      <name val="Arial"/>
      <family val="2"/>
    </font>
    <font>
      <sz val="16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10"/>
      <name val="Arial"/>
      <family val="2"/>
    </font>
    <font>
      <sz val="10"/>
      <color indexed="10"/>
      <name val="Arial"/>
      <family val="2"/>
    </font>
    <font>
      <sz val="10"/>
      <color indexed="22"/>
      <name val="Arial"/>
      <family val="2"/>
    </font>
    <font>
      <b/>
      <sz val="12"/>
      <color indexed="12"/>
      <name val="Arial"/>
      <family val="2"/>
    </font>
    <font>
      <b/>
      <sz val="12"/>
      <color indexed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indexed="2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11"/>
      <name val="Arial"/>
      <family val="2"/>
    </font>
    <font>
      <b/>
      <i/>
      <sz val="10"/>
      <name val="Arial"/>
      <family val="2"/>
    </font>
    <font>
      <sz val="24"/>
      <name val="Arial"/>
      <family val="2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b/>
      <sz val="10"/>
      <color indexed="9"/>
      <name val="Arial"/>
      <family val="2"/>
    </font>
    <font>
      <u/>
      <sz val="14"/>
      <name val="Lucida Handwriting"/>
      <family val="4"/>
    </font>
    <font>
      <u/>
      <sz val="20"/>
      <name val="Arial"/>
      <family val="2"/>
    </font>
    <font>
      <i/>
      <sz val="10"/>
      <name val="Arial"/>
      <family val="2"/>
    </font>
    <font>
      <u/>
      <sz val="12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22"/>
      <name val="Arial"/>
      <family val="2"/>
    </font>
    <font>
      <sz val="14"/>
      <name val="Arial"/>
      <family val="2"/>
    </font>
    <font>
      <sz val="10"/>
      <color indexed="9"/>
      <name val="Arial"/>
      <family val="2"/>
    </font>
    <font>
      <sz val="10"/>
      <color indexed="9"/>
      <name val="Arial"/>
      <family val="2"/>
    </font>
    <font>
      <b/>
      <sz val="11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10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b/>
      <sz val="10"/>
      <name val="Calibri"/>
      <family val="2"/>
    </font>
    <font>
      <u/>
      <sz val="11"/>
      <name val="Calibri"/>
      <family val="2"/>
    </font>
    <font>
      <b/>
      <u/>
      <sz val="11"/>
      <name val="Calibri"/>
      <family val="2"/>
    </font>
    <font>
      <b/>
      <sz val="14"/>
      <color indexed="12"/>
      <name val="Calibri"/>
      <family val="2"/>
    </font>
    <font>
      <sz val="11.4"/>
      <name val="Arial"/>
      <family val="2"/>
    </font>
    <font>
      <sz val="12"/>
      <color indexed="30"/>
      <name val="Arial"/>
      <family val="2"/>
    </font>
    <font>
      <sz val="10"/>
      <name val="Arial"/>
      <family val="2"/>
    </font>
    <font>
      <b/>
      <sz val="10"/>
      <color indexed="48"/>
      <name val="Arial"/>
      <family val="2"/>
    </font>
    <font>
      <b/>
      <sz val="12"/>
      <color indexed="57"/>
      <name val="Arial"/>
      <family val="2"/>
    </font>
    <font>
      <b/>
      <sz val="12"/>
      <color indexed="48"/>
      <name val="Arial"/>
      <family val="2"/>
    </font>
    <font>
      <i/>
      <sz val="12"/>
      <name val="Arial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rgb="FFFF0000"/>
      <name val="Arial"/>
      <family val="2"/>
    </font>
    <font>
      <sz val="12"/>
      <color theme="0"/>
      <name val="Arial"/>
      <family val="2"/>
    </font>
    <font>
      <sz val="12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4"/>
      <color indexed="12"/>
      <name val="Calibri"/>
      <family val="2"/>
      <scheme val="minor"/>
    </font>
    <font>
      <i/>
      <sz val="10"/>
      <name val="Calibri"/>
      <family val="2"/>
      <scheme val="minor"/>
    </font>
    <font>
      <b/>
      <sz val="14"/>
      <color rgb="FF00206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/>
      <top/>
      <bottom style="double">
        <color rgb="FF002060"/>
      </bottom>
      <diagonal/>
    </border>
    <border>
      <left/>
      <right/>
      <top/>
      <bottom style="double">
        <color theme="8" tint="-0.499984740745262"/>
      </bottom>
      <diagonal/>
    </border>
  </borders>
  <cellStyleXfs count="15">
    <xf numFmtId="0" fontId="0" fillId="0" borderId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55" fillId="0" borderId="0" applyFont="0" applyFill="0" applyBorder="0" applyAlignment="0" applyProtection="0"/>
    <xf numFmtId="0" fontId="13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" fillId="0" borderId="0">
      <alignment horizontal="left" vertical="center"/>
    </xf>
    <xf numFmtId="0" fontId="55" fillId="0" borderId="0">
      <alignment horizontal="left" vertical="center"/>
    </xf>
    <xf numFmtId="0" fontId="1" fillId="0" borderId="0"/>
    <xf numFmtId="0" fontId="1" fillId="0" borderId="0"/>
    <xf numFmtId="0" fontId="55" fillId="0" borderId="0"/>
    <xf numFmtId="0" fontId="1" fillId="0" borderId="0">
      <alignment horizontal="left" vertical="center"/>
    </xf>
    <xf numFmtId="0" fontId="8" fillId="0" borderId="0">
      <alignment horizontal="left" vertical="center"/>
    </xf>
    <xf numFmtId="0" fontId="55" fillId="0" borderId="0">
      <alignment horizontal="left" vertical="center"/>
    </xf>
    <xf numFmtId="9" fontId="1" fillId="0" borderId="0" applyFont="0" applyFill="0" applyBorder="0" applyAlignment="0" applyProtection="0"/>
  </cellStyleXfs>
  <cellXfs count="105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64" fontId="0" fillId="2" borderId="0" xfId="0" applyNumberFormat="1" applyFill="1"/>
    <xf numFmtId="165" fontId="0" fillId="2" borderId="0" xfId="0" applyNumberFormat="1" applyFill="1"/>
    <xf numFmtId="0" fontId="3" fillId="2" borderId="0" xfId="0" applyFont="1" applyFill="1"/>
    <xf numFmtId="0" fontId="4" fillId="2" borderId="0" xfId="0" applyFont="1" applyFill="1"/>
    <xf numFmtId="164" fontId="4" fillId="2" borderId="0" xfId="0" applyNumberFormat="1" applyFont="1" applyFill="1"/>
    <xf numFmtId="165" fontId="4" fillId="2" borderId="0" xfId="0" applyNumberFormat="1" applyFont="1" applyFill="1"/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8" fillId="2" borderId="0" xfId="0" applyFont="1" applyFill="1"/>
    <xf numFmtId="166" fontId="8" fillId="2" borderId="0" xfId="0" applyNumberFormat="1" applyFont="1" applyFill="1"/>
    <xf numFmtId="2" fontId="8" fillId="2" borderId="0" xfId="0" applyNumberFormat="1" applyFont="1" applyFill="1"/>
    <xf numFmtId="164" fontId="8" fillId="2" borderId="0" xfId="0" applyNumberFormat="1" applyFont="1" applyFill="1"/>
    <xf numFmtId="0" fontId="3" fillId="2" borderId="1" xfId="0" applyFont="1" applyFill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/>
    </xf>
    <xf numFmtId="164" fontId="4" fillId="2" borderId="3" xfId="0" applyNumberFormat="1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6" xfId="0" applyFont="1" applyFill="1" applyBorder="1" applyAlignment="1">
      <alignment horizontal="center"/>
    </xf>
    <xf numFmtId="164" fontId="3" fillId="2" borderId="7" xfId="0" applyNumberFormat="1" applyFont="1" applyFill="1" applyBorder="1"/>
    <xf numFmtId="164" fontId="9" fillId="3" borderId="7" xfId="0" applyNumberFormat="1" applyFont="1" applyFill="1" applyBorder="1"/>
    <xf numFmtId="164" fontId="3" fillId="2" borderId="8" xfId="0" applyNumberFormat="1" applyFont="1" applyFill="1" applyBorder="1"/>
    <xf numFmtId="164" fontId="3" fillId="2" borderId="9" xfId="0" applyNumberFormat="1" applyFont="1" applyFill="1" applyBorder="1"/>
    <xf numFmtId="164" fontId="3" fillId="2" borderId="10" xfId="0" applyNumberFormat="1" applyFont="1" applyFill="1" applyBorder="1"/>
    <xf numFmtId="1" fontId="2" fillId="3" borderId="7" xfId="0" applyNumberFormat="1" applyFont="1" applyFill="1" applyBorder="1" applyProtection="1">
      <protection locked="0" hidden="1"/>
    </xf>
    <xf numFmtId="0" fontId="0" fillId="2" borderId="6" xfId="0" applyFill="1" applyBorder="1"/>
    <xf numFmtId="164" fontId="3" fillId="2" borderId="11" xfId="0" applyNumberFormat="1" applyFont="1" applyFill="1" applyBorder="1"/>
    <xf numFmtId="166" fontId="2" fillId="3" borderId="7" xfId="0" applyNumberFormat="1" applyFont="1" applyFill="1" applyBorder="1" applyProtection="1">
      <protection locked="0" hidden="1"/>
    </xf>
    <xf numFmtId="164" fontId="10" fillId="3" borderId="7" xfId="0" applyNumberFormat="1" applyFont="1" applyFill="1" applyBorder="1"/>
    <xf numFmtId="164" fontId="12" fillId="2" borderId="7" xfId="0" applyNumberFormat="1" applyFont="1" applyFill="1" applyBorder="1" applyProtection="1">
      <protection locked="0" hidden="1"/>
    </xf>
    <xf numFmtId="1" fontId="12" fillId="2" borderId="7" xfId="0" applyNumberFormat="1" applyFont="1" applyFill="1" applyBorder="1" applyProtection="1">
      <protection locked="0" hidden="1"/>
    </xf>
    <xf numFmtId="2" fontId="12" fillId="2" borderId="7" xfId="0" applyNumberFormat="1" applyFont="1" applyFill="1" applyBorder="1" applyAlignment="1" applyProtection="1">
      <alignment horizontal="center"/>
      <protection locked="0" hidden="1"/>
    </xf>
    <xf numFmtId="164" fontId="9" fillId="2" borderId="7" xfId="0" applyNumberFormat="1" applyFont="1" applyFill="1" applyBorder="1"/>
    <xf numFmtId="0" fontId="5" fillId="2" borderId="0" xfId="0" applyFont="1" applyFill="1"/>
    <xf numFmtId="164" fontId="2" fillId="2" borderId="7" xfId="0" applyNumberFormat="1" applyFont="1" applyFill="1" applyBorder="1"/>
    <xf numFmtId="0" fontId="9" fillId="3" borderId="7" xfId="0" applyFont="1" applyFill="1" applyBorder="1"/>
    <xf numFmtId="0" fontId="2" fillId="2" borderId="0" xfId="0" applyFont="1" applyFill="1"/>
    <xf numFmtId="2" fontId="2" fillId="4" borderId="7" xfId="0" applyNumberFormat="1" applyFont="1" applyFill="1" applyBorder="1" applyProtection="1">
      <protection locked="0" hidden="1"/>
    </xf>
    <xf numFmtId="0" fontId="0" fillId="2" borderId="10" xfId="0" applyFill="1" applyBorder="1"/>
    <xf numFmtId="166" fontId="2" fillId="3" borderId="7" xfId="0" applyNumberFormat="1" applyFont="1" applyFill="1" applyBorder="1" applyAlignment="1" applyProtection="1">
      <alignment horizontal="right"/>
      <protection locked="0" hidden="1"/>
    </xf>
    <xf numFmtId="0" fontId="2" fillId="5" borderId="12" xfId="0" applyFont="1" applyFill="1" applyBorder="1"/>
    <xf numFmtId="0" fontId="2" fillId="5" borderId="13" xfId="0" applyFont="1" applyFill="1" applyBorder="1"/>
    <xf numFmtId="0" fontId="2" fillId="5" borderId="14" xfId="0" applyFont="1" applyFill="1" applyBorder="1"/>
    <xf numFmtId="0" fontId="1" fillId="2" borderId="0" xfId="11" applyFill="1">
      <alignment horizontal="left" vertical="center"/>
    </xf>
    <xf numFmtId="1" fontId="2" fillId="5" borderId="7" xfId="0" applyNumberFormat="1" applyFont="1" applyFill="1" applyBorder="1" applyProtection="1">
      <protection locked="0" hidden="1"/>
    </xf>
    <xf numFmtId="0" fontId="15" fillId="6" borderId="7" xfId="11" applyFont="1" applyFill="1" applyBorder="1">
      <alignment horizontal="left" vertical="center"/>
    </xf>
    <xf numFmtId="0" fontId="0" fillId="6" borderId="7" xfId="0" applyFill="1" applyBorder="1"/>
    <xf numFmtId="0" fontId="9" fillId="5" borderId="7" xfId="0" applyFont="1" applyFill="1" applyBorder="1"/>
    <xf numFmtId="0" fontId="2" fillId="5" borderId="7" xfId="0" applyFont="1" applyFill="1" applyBorder="1"/>
    <xf numFmtId="0" fontId="0" fillId="6" borderId="8" xfId="0" applyFill="1" applyBorder="1"/>
    <xf numFmtId="0" fontId="1" fillId="2" borderId="7" xfId="11" applyFill="1" applyBorder="1">
      <alignment horizontal="left" vertical="center"/>
    </xf>
    <xf numFmtId="0" fontId="15" fillId="6" borderId="10" xfId="11" applyFont="1" applyFill="1" applyBorder="1" applyAlignment="1">
      <alignment horizontal="center" vertical="center"/>
    </xf>
    <xf numFmtId="0" fontId="23" fillId="2" borderId="0" xfId="11" applyFont="1" applyFill="1">
      <alignment horizontal="left" vertical="center"/>
    </xf>
    <xf numFmtId="0" fontId="22" fillId="3" borderId="10" xfId="11" applyFont="1" applyFill="1" applyBorder="1" applyAlignment="1">
      <alignment horizontal="center" vertical="center"/>
    </xf>
    <xf numFmtId="0" fontId="23" fillId="2" borderId="7" xfId="11" applyFont="1" applyFill="1" applyBorder="1" applyAlignment="1">
      <alignment horizontal="center" vertical="center"/>
    </xf>
    <xf numFmtId="0" fontId="23" fillId="2" borderId="7" xfId="11" applyFont="1" applyFill="1" applyBorder="1">
      <alignment horizontal="left" vertical="center"/>
    </xf>
    <xf numFmtId="0" fontId="18" fillId="2" borderId="8" xfId="11" applyFont="1" applyFill="1" applyBorder="1">
      <alignment horizontal="left" vertical="center"/>
    </xf>
    <xf numFmtId="0" fontId="18" fillId="2" borderId="7" xfId="11" applyFont="1" applyFill="1" applyBorder="1">
      <alignment horizontal="left" vertical="center"/>
    </xf>
    <xf numFmtId="0" fontId="18" fillId="2" borderId="10" xfId="11" applyFont="1" applyFill="1" applyBorder="1">
      <alignment horizontal="left" vertical="center"/>
    </xf>
    <xf numFmtId="0" fontId="22" fillId="2" borderId="7" xfId="11" applyFont="1" applyFill="1" applyBorder="1">
      <alignment horizontal="left" vertical="center"/>
    </xf>
    <xf numFmtId="0" fontId="15" fillId="6" borderId="7" xfId="11" applyFont="1" applyFill="1" applyBorder="1" applyAlignment="1">
      <alignment vertical="center"/>
    </xf>
    <xf numFmtId="0" fontId="18" fillId="2" borderId="15" xfId="11" applyFont="1" applyFill="1" applyBorder="1" applyAlignment="1">
      <alignment vertical="center"/>
    </xf>
    <xf numFmtId="0" fontId="18" fillId="2" borderId="16" xfId="11" applyFont="1" applyFill="1" applyBorder="1" applyAlignment="1">
      <alignment vertical="center"/>
    </xf>
    <xf numFmtId="0" fontId="1" fillId="6" borderId="8" xfId="11" applyFill="1" applyBorder="1" applyAlignment="1">
      <alignment horizontal="center" vertical="center"/>
    </xf>
    <xf numFmtId="0" fontId="1" fillId="6" borderId="10" xfId="11" applyFill="1" applyBorder="1" applyAlignment="1">
      <alignment horizontal="center" vertical="center"/>
    </xf>
    <xf numFmtId="1" fontId="1" fillId="2" borderId="15" xfId="11" quotePrefix="1" applyNumberFormat="1" applyFill="1" applyBorder="1" applyAlignment="1">
      <alignment vertical="center"/>
    </xf>
    <xf numFmtId="0" fontId="18" fillId="0" borderId="0" xfId="0" applyFont="1"/>
    <xf numFmtId="0" fontId="2" fillId="0" borderId="7" xfId="0" applyFont="1" applyBorder="1"/>
    <xf numFmtId="0" fontId="2" fillId="0" borderId="0" xfId="0" applyFont="1"/>
    <xf numFmtId="0" fontId="1" fillId="7" borderId="8" xfId="11" applyFill="1" applyBorder="1" applyAlignment="1">
      <alignment horizontal="center" vertical="center"/>
    </xf>
    <xf numFmtId="0" fontId="1" fillId="7" borderId="7" xfId="11" applyFill="1" applyBorder="1">
      <alignment horizontal="left" vertical="center"/>
    </xf>
    <xf numFmtId="0" fontId="1" fillId="7" borderId="0" xfId="11" applyFill="1">
      <alignment horizontal="left" vertical="center"/>
    </xf>
    <xf numFmtId="0" fontId="1" fillId="7" borderId="3" xfId="11" applyFill="1" applyBorder="1">
      <alignment horizontal="left" vertical="center"/>
    </xf>
    <xf numFmtId="0" fontId="1" fillId="7" borderId="8" xfId="11" applyFill="1" applyBorder="1">
      <alignment horizontal="left" vertical="center"/>
    </xf>
    <xf numFmtId="0" fontId="1" fillId="7" borderId="10" xfId="11" applyFill="1" applyBorder="1" applyAlignment="1">
      <alignment horizontal="center" vertical="center"/>
    </xf>
    <xf numFmtId="0" fontId="0" fillId="2" borderId="1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164" fontId="0" fillId="5" borderId="7" xfId="0" applyNumberFormat="1" applyFill="1" applyBorder="1"/>
    <xf numFmtId="166" fontId="0" fillId="5" borderId="7" xfId="0" applyNumberFormat="1" applyFill="1" applyBorder="1"/>
    <xf numFmtId="0" fontId="1" fillId="2" borderId="7" xfId="11" applyFill="1" applyBorder="1" applyAlignment="1">
      <alignment horizontal="center" vertical="center"/>
    </xf>
    <xf numFmtId="0" fontId="1" fillId="4" borderId="7" xfId="11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5" borderId="0" xfId="0" applyFill="1"/>
    <xf numFmtId="0" fontId="26" fillId="3" borderId="0" xfId="11" applyFont="1" applyFill="1">
      <alignment horizontal="left" vertical="center"/>
    </xf>
    <xf numFmtId="0" fontId="26" fillId="3" borderId="0" xfId="11" applyFont="1" applyFill="1" applyAlignment="1">
      <alignment vertical="center"/>
    </xf>
    <xf numFmtId="0" fontId="0" fillId="4" borderId="7" xfId="0" applyFill="1" applyBorder="1"/>
    <xf numFmtId="49" fontId="22" fillId="3" borderId="7" xfId="11" quotePrefix="1" applyNumberFormat="1" applyFont="1" applyFill="1" applyBorder="1" applyAlignment="1">
      <alignment horizontal="center" vertical="center"/>
    </xf>
    <xf numFmtId="0" fontId="26" fillId="3" borderId="20" xfId="11" applyFont="1" applyFill="1" applyBorder="1" applyAlignment="1">
      <alignment vertical="center"/>
    </xf>
    <xf numFmtId="0" fontId="0" fillId="5" borderId="7" xfId="0" applyFill="1" applyBorder="1"/>
    <xf numFmtId="166" fontId="0" fillId="4" borderId="7" xfId="0" applyNumberFormat="1" applyFill="1" applyBorder="1"/>
    <xf numFmtId="0" fontId="0" fillId="4" borderId="10" xfId="0" applyFill="1" applyBorder="1"/>
    <xf numFmtId="0" fontId="27" fillId="3" borderId="0" xfId="11" applyFont="1" applyFill="1">
      <alignment horizontal="left" vertical="center"/>
    </xf>
    <xf numFmtId="0" fontId="3" fillId="6" borderId="12" xfId="0" applyFont="1" applyFill="1" applyBorder="1"/>
    <xf numFmtId="1" fontId="3" fillId="6" borderId="12" xfId="0" applyNumberFormat="1" applyFont="1" applyFill="1" applyBorder="1"/>
    <xf numFmtId="0" fontId="3" fillId="6" borderId="13" xfId="0" applyFont="1" applyFill="1" applyBorder="1"/>
    <xf numFmtId="1" fontId="0" fillId="6" borderId="13" xfId="0" applyNumberFormat="1" applyFill="1" applyBorder="1"/>
    <xf numFmtId="0" fontId="8" fillId="2" borderId="12" xfId="0" applyFont="1" applyFill="1" applyBorder="1"/>
    <xf numFmtId="1" fontId="3" fillId="2" borderId="12" xfId="0" applyNumberFormat="1" applyFont="1" applyFill="1" applyBorder="1"/>
    <xf numFmtId="49" fontId="8" fillId="2" borderId="12" xfId="0" applyNumberFormat="1" applyFont="1" applyFill="1" applyBorder="1" applyAlignment="1">
      <alignment horizontal="center"/>
    </xf>
    <xf numFmtId="0" fontId="28" fillId="2" borderId="13" xfId="0" applyFont="1" applyFill="1" applyBorder="1"/>
    <xf numFmtId="1" fontId="28" fillId="2" borderId="13" xfId="0" applyNumberFormat="1" applyFont="1" applyFill="1" applyBorder="1"/>
    <xf numFmtId="1" fontId="28" fillId="2" borderId="13" xfId="0" applyNumberFormat="1" applyFont="1" applyFill="1" applyBorder="1" applyAlignment="1">
      <alignment horizontal="center"/>
    </xf>
    <xf numFmtId="0" fontId="28" fillId="2" borderId="13" xfId="0" applyFont="1" applyFill="1" applyBorder="1" applyAlignment="1">
      <alignment horizontal="right"/>
    </xf>
    <xf numFmtId="0" fontId="0" fillId="3" borderId="0" xfId="0" applyFill="1"/>
    <xf numFmtId="0" fontId="8" fillId="3" borderId="0" xfId="0" applyFont="1" applyFill="1"/>
    <xf numFmtId="0" fontId="28" fillId="3" borderId="0" xfId="0" applyFont="1" applyFill="1"/>
    <xf numFmtId="1" fontId="0" fillId="3" borderId="0" xfId="0" applyNumberFormat="1" applyFill="1"/>
    <xf numFmtId="1" fontId="3" fillId="3" borderId="0" xfId="0" applyNumberFormat="1" applyFont="1" applyFill="1"/>
    <xf numFmtId="49" fontId="0" fillId="3" borderId="0" xfId="0" applyNumberFormat="1" applyFill="1" applyAlignment="1">
      <alignment horizontal="center"/>
    </xf>
    <xf numFmtId="0" fontId="0" fillId="3" borderId="7" xfId="0" applyFill="1" applyBorder="1"/>
    <xf numFmtId="0" fontId="28" fillId="2" borderId="21" xfId="0" applyFont="1" applyFill="1" applyBorder="1"/>
    <xf numFmtId="0" fontId="0" fillId="3" borderId="8" xfId="0" applyFill="1" applyBorder="1"/>
    <xf numFmtId="0" fontId="8" fillId="2" borderId="22" xfId="0" applyFont="1" applyFill="1" applyBorder="1"/>
    <xf numFmtId="0" fontId="0" fillId="3" borderId="9" xfId="0" applyFill="1" applyBorder="1"/>
    <xf numFmtId="0" fontId="0" fillId="3" borderId="7" xfId="0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0" fontId="0" fillId="3" borderId="0" xfId="0" quotePrefix="1" applyFill="1"/>
    <xf numFmtId="0" fontId="0" fillId="4" borderId="0" xfId="0" applyFill="1"/>
    <xf numFmtId="1" fontId="0" fillId="5" borderId="10" xfId="0" applyNumberFormat="1" applyFill="1" applyBorder="1"/>
    <xf numFmtId="1" fontId="3" fillId="6" borderId="23" xfId="0" applyNumberFormat="1" applyFont="1" applyFill="1" applyBorder="1"/>
    <xf numFmtId="0" fontId="0" fillId="3" borderId="4" xfId="0" applyFill="1" applyBorder="1"/>
    <xf numFmtId="0" fontId="3" fillId="6" borderId="22" xfId="0" applyFont="1" applyFill="1" applyBorder="1"/>
    <xf numFmtId="0" fontId="3" fillId="6" borderId="21" xfId="0" applyFont="1" applyFill="1" applyBorder="1"/>
    <xf numFmtId="0" fontId="0" fillId="3" borderId="20" xfId="0" applyFill="1" applyBorder="1"/>
    <xf numFmtId="0" fontId="8" fillId="3" borderId="8" xfId="0" applyFont="1" applyFill="1" applyBorder="1"/>
    <xf numFmtId="0" fontId="28" fillId="3" borderId="9" xfId="0" applyFont="1" applyFill="1" applyBorder="1"/>
    <xf numFmtId="0" fontId="0" fillId="7" borderId="8" xfId="0" applyFill="1" applyBorder="1"/>
    <xf numFmtId="1" fontId="0" fillId="7" borderId="9" xfId="0" applyNumberFormat="1" applyFill="1" applyBorder="1"/>
    <xf numFmtId="0" fontId="0" fillId="7" borderId="9" xfId="0" applyFill="1" applyBorder="1"/>
    <xf numFmtId="165" fontId="9" fillId="3" borderId="7" xfId="0" quotePrefix="1" applyNumberFormat="1" applyFont="1" applyFill="1" applyBorder="1"/>
    <xf numFmtId="166" fontId="9" fillId="3" borderId="7" xfId="0" applyNumberFormat="1" applyFont="1" applyFill="1" applyBorder="1"/>
    <xf numFmtId="1" fontId="9" fillId="3" borderId="7" xfId="0" applyNumberFormat="1" applyFont="1" applyFill="1" applyBorder="1"/>
    <xf numFmtId="0" fontId="0" fillId="7" borderId="9" xfId="0" applyFill="1" applyBorder="1" applyAlignment="1">
      <alignment horizontal="center"/>
    </xf>
    <xf numFmtId="0" fontId="3" fillId="6" borderId="24" xfId="0" applyFont="1" applyFill="1" applyBorder="1"/>
    <xf numFmtId="1" fontId="3" fillId="5" borderId="7" xfId="0" applyNumberFormat="1" applyFont="1" applyFill="1" applyBorder="1"/>
    <xf numFmtId="1" fontId="0" fillId="2" borderId="7" xfId="0" applyNumberFormat="1" applyFill="1" applyBorder="1" applyAlignment="1">
      <alignment horizontal="center"/>
    </xf>
    <xf numFmtId="1" fontId="0" fillId="8" borderId="7" xfId="0" applyNumberFormat="1" applyFill="1" applyBorder="1" applyAlignment="1">
      <alignment horizontal="center"/>
    </xf>
    <xf numFmtId="0" fontId="0" fillId="5" borderId="8" xfId="0" applyFill="1" applyBorder="1"/>
    <xf numFmtId="0" fontId="1" fillId="3" borderId="0" xfId="8" applyFill="1"/>
    <xf numFmtId="0" fontId="29" fillId="3" borderId="0" xfId="8" applyFont="1" applyFill="1"/>
    <xf numFmtId="0" fontId="26" fillId="3" borderId="0" xfId="8" applyFont="1" applyFill="1" applyAlignment="1">
      <alignment vertical="center" wrapText="1"/>
    </xf>
    <xf numFmtId="0" fontId="26" fillId="3" borderId="0" xfId="8" applyFont="1" applyFill="1" applyAlignment="1">
      <alignment horizontal="left" vertical="center" wrapText="1"/>
    </xf>
    <xf numFmtId="0" fontId="26" fillId="3" borderId="0" xfId="8" applyFont="1" applyFill="1" applyAlignment="1">
      <alignment vertical="center"/>
    </xf>
    <xf numFmtId="0" fontId="1" fillId="9" borderId="0" xfId="8" applyFill="1"/>
    <xf numFmtId="0" fontId="1" fillId="6" borderId="0" xfId="8" applyFill="1"/>
    <xf numFmtId="0" fontId="1" fillId="3" borderId="5" xfId="8" applyFill="1" applyBorder="1"/>
    <xf numFmtId="0" fontId="1" fillId="3" borderId="1" xfId="8" applyFill="1" applyBorder="1"/>
    <xf numFmtId="0" fontId="1" fillId="3" borderId="2" xfId="8" applyFill="1" applyBorder="1"/>
    <xf numFmtId="0" fontId="1" fillId="3" borderId="4" xfId="8" applyFill="1" applyBorder="1"/>
    <xf numFmtId="0" fontId="15" fillId="3" borderId="0" xfId="8" applyFont="1" applyFill="1"/>
    <xf numFmtId="0" fontId="15" fillId="3" borderId="4" xfId="8" applyFont="1" applyFill="1" applyBorder="1"/>
    <xf numFmtId="0" fontId="30" fillId="3" borderId="0" xfId="8" applyFont="1" applyFill="1"/>
    <xf numFmtId="167" fontId="1" fillId="3" borderId="9" xfId="1" applyNumberFormat="1" applyFill="1" applyBorder="1"/>
    <xf numFmtId="167" fontId="1" fillId="2" borderId="9" xfId="1" applyNumberFormat="1" applyFill="1" applyBorder="1"/>
    <xf numFmtId="0" fontId="8" fillId="3" borderId="0" xfId="8" applyFont="1" applyFill="1"/>
    <xf numFmtId="0" fontId="31" fillId="3" borderId="0" xfId="8" applyFont="1" applyFill="1"/>
    <xf numFmtId="167" fontId="0" fillId="3" borderId="9" xfId="1" applyNumberFormat="1" applyFont="1" applyFill="1" applyBorder="1"/>
    <xf numFmtId="167" fontId="0" fillId="2" borderId="9" xfId="1" applyNumberFormat="1" applyFont="1" applyFill="1" applyBorder="1"/>
    <xf numFmtId="0" fontId="12" fillId="10" borderId="9" xfId="0" applyFont="1" applyFill="1" applyBorder="1"/>
    <xf numFmtId="0" fontId="3" fillId="3" borderId="9" xfId="0" applyFont="1" applyFill="1" applyBorder="1" applyAlignment="1">
      <alignment horizontal="right"/>
    </xf>
    <xf numFmtId="0" fontId="8" fillId="3" borderId="7" xfId="8" applyFont="1" applyFill="1" applyBorder="1"/>
    <xf numFmtId="167" fontId="3" fillId="3" borderId="7" xfId="0" applyNumberFormat="1" applyFont="1" applyFill="1" applyBorder="1"/>
    <xf numFmtId="0" fontId="15" fillId="5" borderId="7" xfId="8" applyFont="1" applyFill="1" applyBorder="1"/>
    <xf numFmtId="0" fontId="12" fillId="10" borderId="4" xfId="0" applyFont="1" applyFill="1" applyBorder="1"/>
    <xf numFmtId="0" fontId="30" fillId="0" borderId="0" xfId="8" applyFont="1"/>
    <xf numFmtId="0" fontId="1" fillId="6" borderId="7" xfId="0" applyFont="1" applyFill="1" applyBorder="1"/>
    <xf numFmtId="2" fontId="0" fillId="4" borderId="7" xfId="0" applyNumberFormat="1" applyFill="1" applyBorder="1"/>
    <xf numFmtId="0" fontId="3" fillId="11" borderId="25" xfId="0" applyFont="1" applyFill="1" applyBorder="1"/>
    <xf numFmtId="0" fontId="0" fillId="0" borderId="26" xfId="0" applyBorder="1"/>
    <xf numFmtId="0" fontId="0" fillId="4" borderId="27" xfId="0" applyFill="1" applyBorder="1"/>
    <xf numFmtId="0" fontId="0" fillId="6" borderId="28" xfId="0" applyFill="1" applyBorder="1"/>
    <xf numFmtId="0" fontId="0" fillId="3" borderId="26" xfId="0" applyFill="1" applyBorder="1"/>
    <xf numFmtId="0" fontId="0" fillId="3" borderId="24" xfId="0" applyFill="1" applyBorder="1"/>
    <xf numFmtId="0" fontId="0" fillId="3" borderId="17" xfId="0" applyFill="1" applyBorder="1"/>
    <xf numFmtId="0" fontId="0" fillId="3" borderId="22" xfId="0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1" xfId="0" applyFill="1" applyBorder="1"/>
    <xf numFmtId="49" fontId="0" fillId="6" borderId="7" xfId="0" applyNumberFormat="1" applyFill="1" applyBorder="1"/>
    <xf numFmtId="0" fontId="0" fillId="4" borderId="29" xfId="0" applyFill="1" applyBorder="1"/>
    <xf numFmtId="0" fontId="0" fillId="3" borderId="30" xfId="0" applyFill="1" applyBorder="1"/>
    <xf numFmtId="0" fontId="18" fillId="3" borderId="0" xfId="0" applyFont="1" applyFill="1"/>
    <xf numFmtId="0" fontId="0" fillId="3" borderId="31" xfId="0" applyFill="1" applyBorder="1"/>
    <xf numFmtId="0" fontId="3" fillId="3" borderId="7" xfId="0" applyFont="1" applyFill="1" applyBorder="1" applyAlignment="1">
      <alignment horizontal="right"/>
    </xf>
    <xf numFmtId="0" fontId="12" fillId="10" borderId="7" xfId="0" applyFont="1" applyFill="1" applyBorder="1"/>
    <xf numFmtId="167" fontId="15" fillId="4" borderId="7" xfId="0" applyNumberFormat="1" applyFont="1" applyFill="1" applyBorder="1" applyAlignment="1">
      <alignment horizontal="center" vertical="center" readingOrder="1"/>
    </xf>
    <xf numFmtId="167" fontId="15" fillId="12" borderId="7" xfId="0" applyNumberFormat="1" applyFont="1" applyFill="1" applyBorder="1" applyAlignment="1">
      <alignment horizontal="center" vertical="center" readingOrder="1"/>
    </xf>
    <xf numFmtId="0" fontId="30" fillId="3" borderId="23" xfId="8" applyFont="1" applyFill="1" applyBorder="1"/>
    <xf numFmtId="0" fontId="1" fillId="3" borderId="17" xfId="8" applyFill="1" applyBorder="1"/>
    <xf numFmtId="0" fontId="30" fillId="3" borderId="17" xfId="8" applyFont="1" applyFill="1" applyBorder="1"/>
    <xf numFmtId="0" fontId="1" fillId="3" borderId="18" xfId="8" applyFill="1" applyBorder="1"/>
    <xf numFmtId="0" fontId="12" fillId="10" borderId="31" xfId="0" applyFont="1" applyFill="1" applyBorder="1"/>
    <xf numFmtId="167" fontId="15" fillId="4" borderId="27" xfId="0" applyNumberFormat="1" applyFont="1" applyFill="1" applyBorder="1" applyAlignment="1">
      <alignment horizontal="center" vertical="center" readingOrder="1"/>
    </xf>
    <xf numFmtId="0" fontId="3" fillId="3" borderId="32" xfId="0" applyFont="1" applyFill="1" applyBorder="1" applyAlignment="1">
      <alignment horizontal="right"/>
    </xf>
    <xf numFmtId="0" fontId="1" fillId="3" borderId="26" xfId="8" applyFill="1" applyBorder="1"/>
    <xf numFmtId="0" fontId="1" fillId="3" borderId="19" xfId="8" applyFill="1" applyBorder="1"/>
    <xf numFmtId="0" fontId="15" fillId="5" borderId="33" xfId="8" applyFont="1" applyFill="1" applyBorder="1"/>
    <xf numFmtId="167" fontId="15" fillId="4" borderId="34" xfId="0" applyNumberFormat="1" applyFont="1" applyFill="1" applyBorder="1" applyAlignment="1">
      <alignment horizontal="center" vertical="center" readingOrder="1"/>
    </xf>
    <xf numFmtId="0" fontId="8" fillId="3" borderId="19" xfId="8" applyFont="1" applyFill="1" applyBorder="1"/>
    <xf numFmtId="0" fontId="1" fillId="3" borderId="21" xfId="8" applyFill="1" applyBorder="1"/>
    <xf numFmtId="0" fontId="15" fillId="3" borderId="17" xfId="8" applyFont="1" applyFill="1" applyBorder="1"/>
    <xf numFmtId="0" fontId="12" fillId="10" borderId="8" xfId="0" applyFont="1" applyFill="1" applyBorder="1"/>
    <xf numFmtId="0" fontId="12" fillId="10" borderId="10" xfId="0" applyFont="1" applyFill="1" applyBorder="1"/>
    <xf numFmtId="44" fontId="12" fillId="10" borderId="8" xfId="1" applyFont="1" applyFill="1" applyBorder="1" applyAlignment="1"/>
    <xf numFmtId="0" fontId="3" fillId="11" borderId="35" xfId="0" applyFont="1" applyFill="1" applyBorder="1"/>
    <xf numFmtId="44" fontId="0" fillId="4" borderId="28" xfId="1" applyFont="1" applyFill="1" applyBorder="1"/>
    <xf numFmtId="44" fontId="8" fillId="3" borderId="7" xfId="1" applyFont="1" applyFill="1" applyBorder="1"/>
    <xf numFmtId="9" fontId="12" fillId="10" borderId="8" xfId="14" applyFont="1" applyFill="1" applyBorder="1" applyAlignment="1"/>
    <xf numFmtId="0" fontId="8" fillId="3" borderId="17" xfId="8" applyFont="1" applyFill="1" applyBorder="1"/>
    <xf numFmtId="0" fontId="12" fillId="10" borderId="30" xfId="0" applyFont="1" applyFill="1" applyBorder="1"/>
    <xf numFmtId="0" fontId="12" fillId="10" borderId="36" xfId="0" applyFont="1" applyFill="1" applyBorder="1"/>
    <xf numFmtId="9" fontId="1" fillId="3" borderId="0" xfId="8" applyNumberFormat="1" applyFill="1"/>
    <xf numFmtId="0" fontId="1" fillId="3" borderId="24" xfId="8" applyFill="1" applyBorder="1"/>
    <xf numFmtId="9" fontId="8" fillId="3" borderId="28" xfId="14" applyFont="1" applyFill="1" applyBorder="1"/>
    <xf numFmtId="44" fontId="8" fillId="3" borderId="28" xfId="1" applyFont="1" applyFill="1" applyBorder="1"/>
    <xf numFmtId="1" fontId="0" fillId="4" borderId="7" xfId="0" applyNumberFormat="1" applyFill="1" applyBorder="1"/>
    <xf numFmtId="0" fontId="0" fillId="5" borderId="10" xfId="0" applyFill="1" applyBorder="1"/>
    <xf numFmtId="1" fontId="3" fillId="6" borderId="13" xfId="0" applyNumberFormat="1" applyFont="1" applyFill="1" applyBorder="1"/>
    <xf numFmtId="0" fontId="12" fillId="10" borderId="32" xfId="0" applyFont="1" applyFill="1" applyBorder="1"/>
    <xf numFmtId="0" fontId="8" fillId="3" borderId="15" xfId="8" applyFont="1" applyFill="1" applyBorder="1"/>
    <xf numFmtId="0" fontId="1" fillId="3" borderId="16" xfId="8" applyFill="1" applyBorder="1"/>
    <xf numFmtId="0" fontId="8" fillId="3" borderId="8" xfId="8" applyFont="1" applyFill="1" applyBorder="1"/>
    <xf numFmtId="167" fontId="8" fillId="5" borderId="7" xfId="1" applyNumberFormat="1" applyFont="1" applyFill="1" applyBorder="1"/>
    <xf numFmtId="0" fontId="1" fillId="5" borderId="7" xfId="11" applyFill="1" applyBorder="1" applyAlignment="1">
      <alignment horizontal="center" vertical="center"/>
    </xf>
    <xf numFmtId="0" fontId="0" fillId="4" borderId="5" xfId="0" applyFill="1" applyBorder="1"/>
    <xf numFmtId="0" fontId="0" fillId="4" borderId="15" xfId="0" applyFill="1" applyBorder="1"/>
    <xf numFmtId="0" fontId="0" fillId="3" borderId="23" xfId="0" applyFill="1" applyBorder="1"/>
    <xf numFmtId="0" fontId="0" fillId="3" borderId="5" xfId="0" applyFill="1" applyBorder="1"/>
    <xf numFmtId="0" fontId="0" fillId="4" borderId="7" xfId="0" applyFill="1" applyBorder="1" applyAlignment="1">
      <alignment horizontal="center"/>
    </xf>
    <xf numFmtId="0" fontId="0" fillId="6" borderId="37" xfId="0" applyFill="1" applyBorder="1"/>
    <xf numFmtId="0" fontId="15" fillId="5" borderId="7" xfId="11" applyFont="1" applyFill="1" applyBorder="1" applyProtection="1">
      <alignment horizontal="left" vertical="center"/>
      <protection locked="0"/>
    </xf>
    <xf numFmtId="0" fontId="26" fillId="3" borderId="0" xfId="11" applyFont="1" applyFill="1" applyAlignment="1">
      <alignment horizontal="right" vertical="center"/>
    </xf>
    <xf numFmtId="0" fontId="15" fillId="5" borderId="7" xfId="11" applyFont="1" applyFill="1" applyBorder="1" applyAlignment="1" applyProtection="1">
      <alignment vertical="center"/>
      <protection locked="0"/>
    </xf>
    <xf numFmtId="0" fontId="25" fillId="5" borderId="7" xfId="11" applyFont="1" applyFill="1" applyBorder="1" applyAlignment="1" applyProtection="1">
      <alignment horizontal="center" vertical="center"/>
      <protection locked="0"/>
    </xf>
    <xf numFmtId="169" fontId="15" fillId="5" borderId="7" xfId="11" applyNumberFormat="1" applyFont="1" applyFill="1" applyBorder="1" applyAlignment="1" applyProtection="1">
      <alignment vertical="center"/>
      <protection locked="0"/>
    </xf>
    <xf numFmtId="0" fontId="3" fillId="9" borderId="28" xfId="0" applyFont="1" applyFill="1" applyBorder="1" applyAlignment="1">
      <alignment horizontal="right"/>
    </xf>
    <xf numFmtId="0" fontId="1" fillId="3" borderId="0" xfId="0" applyFont="1" applyFill="1"/>
    <xf numFmtId="0" fontId="1" fillId="3" borderId="26" xfId="0" applyFont="1" applyFill="1" applyBorder="1"/>
    <xf numFmtId="0" fontId="0" fillId="3" borderId="28" xfId="0" applyFill="1" applyBorder="1"/>
    <xf numFmtId="0" fontId="0" fillId="5" borderId="18" xfId="0" applyFill="1" applyBorder="1"/>
    <xf numFmtId="0" fontId="0" fillId="5" borderId="21" xfId="0" applyFill="1" applyBorder="1"/>
    <xf numFmtId="0" fontId="0" fillId="3" borderId="26" xfId="0" applyFill="1" applyBorder="1" applyAlignment="1">
      <alignment horizontal="right"/>
    </xf>
    <xf numFmtId="9" fontId="18" fillId="3" borderId="7" xfId="0" quotePrefix="1" applyNumberFormat="1" applyFont="1" applyFill="1" applyBorder="1"/>
    <xf numFmtId="0" fontId="18" fillId="3" borderId="7" xfId="0" quotePrefix="1" applyFont="1" applyFill="1" applyBorder="1"/>
    <xf numFmtId="0" fontId="18" fillId="3" borderId="28" xfId="0" quotePrefix="1" applyFont="1" applyFill="1" applyBorder="1"/>
    <xf numFmtId="0" fontId="1" fillId="0" borderId="0" xfId="0" applyFont="1"/>
    <xf numFmtId="167" fontId="5" fillId="3" borderId="7" xfId="8" applyNumberFormat="1" applyFont="1" applyFill="1" applyBorder="1"/>
    <xf numFmtId="167" fontId="5" fillId="6" borderId="7" xfId="8" applyNumberFormat="1" applyFont="1" applyFill="1" applyBorder="1"/>
    <xf numFmtId="1" fontId="1" fillId="3" borderId="7" xfId="8" applyNumberFormat="1" applyFill="1" applyBorder="1"/>
    <xf numFmtId="0" fontId="1" fillId="12" borderId="7" xfId="8" applyFill="1" applyBorder="1"/>
    <xf numFmtId="0" fontId="1" fillId="12" borderId="7" xfId="8" applyFill="1" applyBorder="1" applyAlignment="1">
      <alignment horizontal="right"/>
    </xf>
    <xf numFmtId="0" fontId="1" fillId="6" borderId="7" xfId="11" applyFill="1" applyBorder="1" applyAlignment="1">
      <alignment horizontal="center" vertical="center"/>
    </xf>
    <xf numFmtId="0" fontId="15" fillId="6" borderId="7" xfId="11" applyFont="1" applyFill="1" applyBorder="1" applyAlignment="1">
      <alignment horizontal="center" vertical="center"/>
    </xf>
    <xf numFmtId="0" fontId="20" fillId="3" borderId="7" xfId="11" quotePrefix="1" applyFont="1" applyFill="1" applyBorder="1" applyAlignment="1">
      <alignment horizontal="right" vertical="center"/>
    </xf>
    <xf numFmtId="0" fontId="25" fillId="2" borderId="7" xfId="11" applyFont="1" applyFill="1" applyBorder="1" applyAlignment="1">
      <alignment horizontal="center" vertical="center"/>
    </xf>
    <xf numFmtId="0" fontId="20" fillId="3" borderId="7" xfId="11" applyFont="1" applyFill="1" applyBorder="1" applyAlignment="1">
      <alignment horizontal="right" vertical="center"/>
    </xf>
    <xf numFmtId="1" fontId="20" fillId="3" borderId="7" xfId="11" applyNumberFormat="1" applyFont="1" applyFill="1" applyBorder="1" applyAlignment="1">
      <alignment horizontal="right" vertical="center"/>
    </xf>
    <xf numFmtId="0" fontId="1" fillId="3" borderId="7" xfId="0" applyFont="1" applyFill="1" applyBorder="1"/>
    <xf numFmtId="0" fontId="0" fillId="8" borderId="7" xfId="0" applyFill="1" applyBorder="1"/>
    <xf numFmtId="0" fontId="8" fillId="6" borderId="7" xfId="0" applyFont="1" applyFill="1" applyBorder="1"/>
    <xf numFmtId="0" fontId="0" fillId="13" borderId="7" xfId="0" applyFill="1" applyBorder="1"/>
    <xf numFmtId="0" fontId="0" fillId="13" borderId="15" xfId="0" applyFill="1" applyBorder="1"/>
    <xf numFmtId="0" fontId="0" fillId="5" borderId="33" xfId="0" applyFill="1" applyBorder="1"/>
    <xf numFmtId="0" fontId="0" fillId="5" borderId="28" xfId="0" applyFill="1" applyBorder="1"/>
    <xf numFmtId="0" fontId="0" fillId="2" borderId="7" xfId="0" applyFill="1" applyBorder="1"/>
    <xf numFmtId="0" fontId="0" fillId="3" borderId="0" xfId="0" applyFill="1" applyAlignment="1">
      <alignment horizontal="center"/>
    </xf>
    <xf numFmtId="0" fontId="3" fillId="13" borderId="25" xfId="0" applyFont="1" applyFill="1" applyBorder="1"/>
    <xf numFmtId="0" fontId="18" fillId="3" borderId="7" xfId="0" applyFont="1" applyFill="1" applyBorder="1"/>
    <xf numFmtId="0" fontId="0" fillId="0" borderId="24" xfId="0" applyBorder="1"/>
    <xf numFmtId="0" fontId="0" fillId="4" borderId="38" xfId="0" applyFill="1" applyBorder="1"/>
    <xf numFmtId="0" fontId="0" fillId="3" borderId="7" xfId="0" quotePrefix="1" applyFill="1" applyBorder="1"/>
    <xf numFmtId="0" fontId="8" fillId="6" borderId="7" xfId="0" quotePrefix="1" applyFont="1" applyFill="1" applyBorder="1"/>
    <xf numFmtId="0" fontId="0" fillId="5" borderId="7" xfId="0" applyFill="1" applyBorder="1" applyAlignment="1">
      <alignment horizontal="center"/>
    </xf>
    <xf numFmtId="0" fontId="0" fillId="12" borderId="7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6" xfId="0" applyFill="1" applyBorder="1"/>
    <xf numFmtId="0" fontId="0" fillId="3" borderId="11" xfId="0" applyFill="1" applyBorder="1"/>
    <xf numFmtId="0" fontId="0" fillId="3" borderId="20" xfId="0" applyFill="1" applyBorder="1" applyAlignment="1">
      <alignment horizontal="center"/>
    </xf>
    <xf numFmtId="0" fontId="8" fillId="4" borderId="7" xfId="0" applyFont="1" applyFill="1" applyBorder="1"/>
    <xf numFmtId="0" fontId="0" fillId="3" borderId="15" xfId="0" applyFill="1" applyBorder="1"/>
    <xf numFmtId="0" fontId="8" fillId="6" borderId="16" xfId="0" applyFont="1" applyFill="1" applyBorder="1"/>
    <xf numFmtId="0" fontId="1" fillId="3" borderId="16" xfId="0" applyFont="1" applyFill="1" applyBorder="1"/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3" fillId="13" borderId="32" xfId="0" applyFont="1" applyFill="1" applyBorder="1"/>
    <xf numFmtId="0" fontId="9" fillId="3" borderId="0" xfId="0" applyFont="1" applyFill="1"/>
    <xf numFmtId="0" fontId="9" fillId="3" borderId="2" xfId="0" applyFont="1" applyFill="1" applyBorder="1"/>
    <xf numFmtId="0" fontId="0" fillId="4" borderId="7" xfId="0" quotePrefix="1" applyFill="1" applyBorder="1"/>
    <xf numFmtId="0" fontId="0" fillId="3" borderId="10" xfId="0" applyFill="1" applyBorder="1"/>
    <xf numFmtId="0" fontId="15" fillId="4" borderId="7" xfId="0" applyFont="1" applyFill="1" applyBorder="1" applyAlignment="1">
      <alignment horizontal="center" vertical="center" readingOrder="1"/>
    </xf>
    <xf numFmtId="0" fontId="9" fillId="4" borderId="15" xfId="0" applyFont="1" applyFill="1" applyBorder="1"/>
    <xf numFmtId="0" fontId="8" fillId="3" borderId="7" xfId="0" applyFont="1" applyFill="1" applyBorder="1"/>
    <xf numFmtId="0" fontId="9" fillId="4" borderId="7" xfId="0" applyFont="1" applyFill="1" applyBorder="1"/>
    <xf numFmtId="0" fontId="0" fillId="4" borderId="28" xfId="0" applyFill="1" applyBorder="1"/>
    <xf numFmtId="0" fontId="0" fillId="4" borderId="8" xfId="0" applyFill="1" applyBorder="1"/>
    <xf numFmtId="0" fontId="0" fillId="6" borderId="7" xfId="0" applyFill="1" applyBorder="1" applyAlignment="1">
      <alignment horizontal="center"/>
    </xf>
    <xf numFmtId="0" fontId="1" fillId="3" borderId="7" xfId="11" applyFill="1" applyBorder="1" applyAlignment="1">
      <alignment horizontal="center" vertical="center"/>
    </xf>
    <xf numFmtId="0" fontId="8" fillId="3" borderId="7" xfId="0" applyFont="1" applyFill="1" applyBorder="1" applyAlignment="1">
      <alignment horizontal="right"/>
    </xf>
    <xf numFmtId="0" fontId="8" fillId="4" borderId="7" xfId="11" applyFont="1" applyFill="1" applyBorder="1" applyAlignment="1">
      <alignment vertical="center"/>
    </xf>
    <xf numFmtId="0" fontId="8" fillId="4" borderId="28" xfId="11" applyFont="1" applyFill="1" applyBorder="1" applyAlignment="1">
      <alignment vertical="center"/>
    </xf>
    <xf numFmtId="0" fontId="1" fillId="6" borderId="7" xfId="11" quotePrefix="1" applyFill="1" applyBorder="1" applyAlignment="1">
      <alignment horizontal="center" vertical="center"/>
    </xf>
    <xf numFmtId="0" fontId="9" fillId="4" borderId="7" xfId="0" quotePrefix="1" applyFont="1" applyFill="1" applyBorder="1"/>
    <xf numFmtId="0" fontId="0" fillId="6" borderId="7" xfId="0" quotePrefix="1" applyFill="1" applyBorder="1"/>
    <xf numFmtId="0" fontId="0" fillId="5" borderId="16" xfId="0" applyFill="1" applyBorder="1"/>
    <xf numFmtId="0" fontId="0" fillId="3" borderId="16" xfId="0" applyFill="1" applyBorder="1"/>
    <xf numFmtId="0" fontId="0" fillId="6" borderId="11" xfId="0" applyFill="1" applyBorder="1"/>
    <xf numFmtId="0" fontId="0" fillId="6" borderId="10" xfId="0" applyFill="1" applyBorder="1"/>
    <xf numFmtId="0" fontId="0" fillId="5" borderId="7" xfId="0" quotePrefix="1" applyFill="1" applyBorder="1"/>
    <xf numFmtId="0" fontId="2" fillId="4" borderId="7" xfId="0" quotePrefix="1" applyFont="1" applyFill="1" applyBorder="1"/>
    <xf numFmtId="0" fontId="2" fillId="4" borderId="7" xfId="0" applyFont="1" applyFill="1" applyBorder="1"/>
    <xf numFmtId="0" fontId="1" fillId="9" borderId="0" xfId="6" applyFill="1">
      <alignment horizontal="left" vertical="center"/>
    </xf>
    <xf numFmtId="0" fontId="1" fillId="6" borderId="0" xfId="6" applyFill="1">
      <alignment horizontal="left" vertical="center"/>
    </xf>
    <xf numFmtId="167" fontId="8" fillId="3" borderId="0" xfId="1" applyNumberFormat="1" applyFont="1" applyFill="1" applyBorder="1"/>
    <xf numFmtId="0" fontId="1" fillId="3" borderId="7" xfId="8" applyFill="1" applyBorder="1"/>
    <xf numFmtId="0" fontId="0" fillId="4" borderId="15" xfId="0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7" xfId="0" applyNumberFormat="1" applyBorder="1"/>
    <xf numFmtId="166" fontId="0" fillId="2" borderId="7" xfId="0" applyNumberFormat="1" applyFill="1" applyBorder="1" applyAlignment="1">
      <alignment horizontal="center"/>
    </xf>
    <xf numFmtId="0" fontId="0" fillId="0" borderId="7" xfId="0" applyBorder="1"/>
    <xf numFmtId="0" fontId="8" fillId="0" borderId="7" xfId="0" applyFont="1" applyBorder="1" applyAlignment="1">
      <alignment horizontal="center"/>
    </xf>
    <xf numFmtId="166" fontId="8" fillId="0" borderId="7" xfId="0" applyNumberFormat="1" applyFont="1" applyBorder="1"/>
    <xf numFmtId="166" fontId="8" fillId="0" borderId="7" xfId="0" quotePrefix="1" applyNumberFormat="1" applyFont="1" applyBorder="1"/>
    <xf numFmtId="0" fontId="0" fillId="5" borderId="8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2" fontId="0" fillId="0" borderId="7" xfId="0" applyNumberFormat="1" applyBorder="1"/>
    <xf numFmtId="0" fontId="0" fillId="8" borderId="7" xfId="0" applyFill="1" applyBorder="1" applyAlignment="1">
      <alignment horizontal="center"/>
    </xf>
    <xf numFmtId="166" fontId="0" fillId="8" borderId="7" xfId="0" applyNumberFormat="1" applyFill="1" applyBorder="1"/>
    <xf numFmtId="0" fontId="0" fillId="0" borderId="0" xfId="0" quotePrefix="1"/>
    <xf numFmtId="0" fontId="0" fillId="0" borderId="8" xfId="0" applyBorder="1"/>
    <xf numFmtId="0" fontId="8" fillId="0" borderId="8" xfId="0" applyFont="1" applyBorder="1" applyAlignment="1">
      <alignment horizontal="center"/>
    </xf>
    <xf numFmtId="166" fontId="0" fillId="0" borderId="8" xfId="0" applyNumberFormat="1" applyBorder="1"/>
    <xf numFmtId="2" fontId="0" fillId="0" borderId="8" xfId="0" applyNumberFormat="1" applyBorder="1"/>
    <xf numFmtId="0" fontId="0" fillId="0" borderId="39" xfId="0" applyBorder="1" applyAlignment="1">
      <alignment horizontal="center"/>
    </xf>
    <xf numFmtId="0" fontId="0" fillId="0" borderId="39" xfId="0" applyBorder="1"/>
    <xf numFmtId="0" fontId="0" fillId="0" borderId="40" xfId="0" applyBorder="1"/>
    <xf numFmtId="0" fontId="8" fillId="0" borderId="40" xfId="0" applyFont="1" applyBorder="1" applyAlignment="1">
      <alignment horizontal="center"/>
    </xf>
    <xf numFmtId="0" fontId="0" fillId="6" borderId="40" xfId="0" applyFill="1" applyBorder="1"/>
    <xf numFmtId="166" fontId="0" fillId="8" borderId="40" xfId="0" applyNumberFormat="1" applyFill="1" applyBorder="1"/>
    <xf numFmtId="2" fontId="0" fillId="0" borderId="40" xfId="0" applyNumberFormat="1" applyBorder="1"/>
    <xf numFmtId="166" fontId="8" fillId="0" borderId="40" xfId="0" applyNumberFormat="1" applyFont="1" applyBorder="1"/>
    <xf numFmtId="0" fontId="1" fillId="3" borderId="7" xfId="11" applyFill="1" applyBorder="1">
      <alignment horizontal="left" vertical="center"/>
    </xf>
    <xf numFmtId="0" fontId="23" fillId="3" borderId="7" xfId="11" applyFont="1" applyFill="1" applyBorder="1">
      <alignment horizontal="left" vertical="center"/>
    </xf>
    <xf numFmtId="0" fontId="0" fillId="4" borderId="41" xfId="0" applyFill="1" applyBorder="1"/>
    <xf numFmtId="0" fontId="0" fillId="3" borderId="26" xfId="0" quotePrefix="1" applyFill="1" applyBorder="1"/>
    <xf numFmtId="2" fontId="0" fillId="5" borderId="7" xfId="0" applyNumberFormat="1" applyFill="1" applyBorder="1"/>
    <xf numFmtId="9" fontId="0" fillId="0" borderId="0" xfId="0" applyNumberFormat="1"/>
    <xf numFmtId="9" fontId="0" fillId="0" borderId="19" xfId="0" applyNumberFormat="1" applyBorder="1"/>
    <xf numFmtId="9" fontId="18" fillId="3" borderId="28" xfId="0" quotePrefix="1" applyNumberFormat="1" applyFont="1" applyFill="1" applyBorder="1"/>
    <xf numFmtId="9" fontId="0" fillId="4" borderId="7" xfId="14" applyFont="1" applyFill="1" applyBorder="1"/>
    <xf numFmtId="0" fontId="0" fillId="6" borderId="1" xfId="0" applyFill="1" applyBorder="1"/>
    <xf numFmtId="0" fontId="0" fillId="5" borderId="4" xfId="0" applyFill="1" applyBorder="1"/>
    <xf numFmtId="0" fontId="8" fillId="3" borderId="1" xfId="0" applyFont="1" applyFill="1" applyBorder="1"/>
    <xf numFmtId="0" fontId="28" fillId="3" borderId="4" xfId="0" applyFont="1" applyFill="1" applyBorder="1"/>
    <xf numFmtId="0" fontId="0" fillId="6" borderId="3" xfId="0" applyFill="1" applyBorder="1"/>
    <xf numFmtId="2" fontId="0" fillId="5" borderId="11" xfId="0" applyNumberFormat="1" applyFill="1" applyBorder="1"/>
    <xf numFmtId="1" fontId="0" fillId="3" borderId="10" xfId="0" applyNumberFormat="1" applyFill="1" applyBorder="1" applyAlignment="1">
      <alignment horizontal="center"/>
    </xf>
    <xf numFmtId="0" fontId="0" fillId="3" borderId="18" xfId="0" quotePrefix="1" applyFill="1" applyBorder="1"/>
    <xf numFmtId="0" fontId="0" fillId="3" borderId="18" xfId="0" applyFill="1" applyBorder="1" applyAlignment="1">
      <alignment horizontal="center"/>
    </xf>
    <xf numFmtId="166" fontId="0" fillId="5" borderId="0" xfId="0" applyNumberFormat="1" applyFill="1"/>
    <xf numFmtId="0" fontId="0" fillId="5" borderId="3" xfId="0" applyFill="1" applyBorder="1"/>
    <xf numFmtId="0" fontId="0" fillId="6" borderId="17" xfId="0" applyFill="1" applyBorder="1"/>
    <xf numFmtId="0" fontId="0" fillId="6" borderId="22" xfId="0" applyFill="1" applyBorder="1"/>
    <xf numFmtId="166" fontId="0" fillId="5" borderId="18" xfId="0" applyNumberFormat="1" applyFill="1" applyBorder="1"/>
    <xf numFmtId="0" fontId="0" fillId="8" borderId="18" xfId="0" applyFill="1" applyBorder="1"/>
    <xf numFmtId="164" fontId="0" fillId="5" borderId="7" xfId="1" applyNumberFormat="1" applyFont="1" applyFill="1" applyBorder="1" applyAlignment="1"/>
    <xf numFmtId="0" fontId="0" fillId="5" borderId="7" xfId="1" applyNumberFormat="1" applyFont="1" applyFill="1" applyBorder="1" applyAlignment="1"/>
    <xf numFmtId="167" fontId="8" fillId="5" borderId="7" xfId="1" applyNumberFormat="1" applyFont="1" applyFill="1" applyBorder="1" applyProtection="1"/>
    <xf numFmtId="0" fontId="18" fillId="5" borderId="7" xfId="0" quotePrefix="1" applyFont="1" applyFill="1" applyBorder="1"/>
    <xf numFmtId="0" fontId="0" fillId="3" borderId="0" xfId="0" applyFill="1" applyAlignment="1">
      <alignment horizontal="left"/>
    </xf>
    <xf numFmtId="0" fontId="0" fillId="3" borderId="7" xfId="0" applyFill="1" applyBorder="1" applyAlignment="1">
      <alignment horizontal="left"/>
    </xf>
    <xf numFmtId="1" fontId="8" fillId="3" borderId="7" xfId="0" applyNumberFormat="1" applyFont="1" applyFill="1" applyBorder="1" applyAlignment="1">
      <alignment horizontal="left"/>
    </xf>
    <xf numFmtId="0" fontId="8" fillId="3" borderId="7" xfId="0" applyFont="1" applyFill="1" applyBorder="1" applyAlignment="1">
      <alignment horizontal="left"/>
    </xf>
    <xf numFmtId="0" fontId="0" fillId="3" borderId="7" xfId="0" quotePrefix="1" applyFill="1" applyBorder="1" applyAlignment="1">
      <alignment horizontal="left"/>
    </xf>
    <xf numFmtId="0" fontId="18" fillId="3" borderId="7" xfId="9" applyFont="1" applyFill="1" applyBorder="1"/>
    <xf numFmtId="0" fontId="1" fillId="3" borderId="7" xfId="9" applyFill="1" applyBorder="1"/>
    <xf numFmtId="0" fontId="3" fillId="5" borderId="7" xfId="0" applyFont="1" applyFill="1" applyBorder="1" applyAlignment="1">
      <alignment horizontal="left"/>
    </xf>
    <xf numFmtId="0" fontId="3" fillId="5" borderId="7" xfId="0" applyFont="1" applyFill="1" applyBorder="1"/>
    <xf numFmtId="171" fontId="8" fillId="13" borderId="7" xfId="14" applyNumberFormat="1" applyFont="1" applyFill="1" applyBorder="1"/>
    <xf numFmtId="44" fontId="38" fillId="3" borderId="7" xfId="1" applyFont="1" applyFill="1" applyBorder="1"/>
    <xf numFmtId="44" fontId="37" fillId="3" borderId="7" xfId="1" applyFont="1" applyFill="1" applyBorder="1"/>
    <xf numFmtId="0" fontId="2" fillId="5" borderId="8" xfId="0" applyFont="1" applyFill="1" applyBorder="1"/>
    <xf numFmtId="0" fontId="2" fillId="5" borderId="9" xfId="0" applyFont="1" applyFill="1" applyBorder="1"/>
    <xf numFmtId="1" fontId="3" fillId="6" borderId="24" xfId="0" applyNumberFormat="1" applyFont="1" applyFill="1" applyBorder="1"/>
    <xf numFmtId="0" fontId="37" fillId="3" borderId="7" xfId="0" applyFont="1" applyFill="1" applyBorder="1"/>
    <xf numFmtId="0" fontId="37" fillId="3" borderId="7" xfId="0" applyFont="1" applyFill="1" applyBorder="1" applyAlignment="1">
      <alignment horizontal="left"/>
    </xf>
    <xf numFmtId="0" fontId="3" fillId="5" borderId="16" xfId="0" applyFont="1" applyFill="1" applyBorder="1"/>
    <xf numFmtId="0" fontId="1" fillId="3" borderId="11" xfId="8" applyFill="1" applyBorder="1"/>
    <xf numFmtId="0" fontId="0" fillId="0" borderId="10" xfId="0" applyBorder="1"/>
    <xf numFmtId="0" fontId="8" fillId="0" borderId="10" xfId="0" applyFont="1" applyBorder="1" applyAlignment="1">
      <alignment horizontal="center"/>
    </xf>
    <xf numFmtId="166" fontId="0" fillId="8" borderId="10" xfId="0" applyNumberFormat="1" applyFill="1" applyBorder="1"/>
    <xf numFmtId="2" fontId="0" fillId="0" borderId="10" xfId="0" applyNumberFormat="1" applyBorder="1"/>
    <xf numFmtId="0" fontId="0" fillId="0" borderId="42" xfId="0" applyBorder="1"/>
    <xf numFmtId="0" fontId="0" fillId="0" borderId="43" xfId="0" applyBorder="1"/>
    <xf numFmtId="0" fontId="8" fillId="0" borderId="43" xfId="0" applyFont="1" applyBorder="1" applyAlignment="1">
      <alignment horizontal="center"/>
    </xf>
    <xf numFmtId="0" fontId="0" fillId="6" borderId="43" xfId="0" applyFill="1" applyBorder="1"/>
    <xf numFmtId="166" fontId="0" fillId="0" borderId="43" xfId="0" applyNumberFormat="1" applyBorder="1"/>
    <xf numFmtId="2" fontId="0" fillId="0" borderId="43" xfId="0" applyNumberFormat="1" applyBorder="1"/>
    <xf numFmtId="166" fontId="8" fillId="0" borderId="10" xfId="0" applyNumberFormat="1" applyFont="1" applyBorder="1"/>
    <xf numFmtId="0" fontId="0" fillId="5" borderId="43" xfId="0" applyFill="1" applyBorder="1"/>
    <xf numFmtId="0" fontId="1" fillId="6" borderId="7" xfId="8" applyFill="1" applyBorder="1"/>
    <xf numFmtId="1" fontId="0" fillId="5" borderId="7" xfId="0" applyNumberFormat="1" applyFill="1" applyBorder="1"/>
    <xf numFmtId="0" fontId="8" fillId="3" borderId="7" xfId="8" applyFont="1" applyFill="1" applyBorder="1" applyAlignment="1">
      <alignment horizontal="left"/>
    </xf>
    <xf numFmtId="0" fontId="0" fillId="5" borderId="32" xfId="0" applyFill="1" applyBorder="1"/>
    <xf numFmtId="0" fontId="0" fillId="5" borderId="45" xfId="0" applyFill="1" applyBorder="1"/>
    <xf numFmtId="0" fontId="0" fillId="5" borderId="30" xfId="0" applyFill="1" applyBorder="1"/>
    <xf numFmtId="0" fontId="1" fillId="3" borderId="7" xfId="8" applyFill="1" applyBorder="1" applyAlignment="1">
      <alignment horizontal="right"/>
    </xf>
    <xf numFmtId="164" fontId="0" fillId="7" borderId="7" xfId="0" applyNumberFormat="1" applyFill="1" applyBorder="1"/>
    <xf numFmtId="0" fontId="3" fillId="3" borderId="0" xfId="0" applyFont="1" applyFill="1"/>
    <xf numFmtId="0" fontId="40" fillId="3" borderId="15" xfId="0" applyFont="1" applyFill="1" applyBorder="1"/>
    <xf numFmtId="0" fontId="40" fillId="5" borderId="15" xfId="0" applyFont="1" applyFill="1" applyBorder="1"/>
    <xf numFmtId="0" fontId="40" fillId="5" borderId="16" xfId="0" applyFont="1" applyFill="1" applyBorder="1"/>
    <xf numFmtId="0" fontId="40" fillId="5" borderId="5" xfId="0" applyFont="1" applyFill="1" applyBorder="1"/>
    <xf numFmtId="0" fontId="40" fillId="5" borderId="11" xfId="0" applyFont="1" applyFill="1" applyBorder="1"/>
    <xf numFmtId="0" fontId="40" fillId="3" borderId="44" xfId="0" applyFont="1" applyFill="1" applyBorder="1"/>
    <xf numFmtId="0" fontId="0" fillId="3" borderId="44" xfId="0" applyFill="1" applyBorder="1"/>
    <xf numFmtId="0" fontId="40" fillId="3" borderId="2" xfId="0" applyFont="1" applyFill="1" applyBorder="1"/>
    <xf numFmtId="0" fontId="40" fillId="3" borderId="15" xfId="0" applyFont="1" applyFill="1" applyBorder="1" applyAlignment="1">
      <alignment horizontal="left"/>
    </xf>
    <xf numFmtId="0" fontId="40" fillId="3" borderId="15" xfId="0" quotePrefix="1" applyFont="1" applyFill="1" applyBorder="1" applyAlignment="1">
      <alignment horizontal="left"/>
    </xf>
    <xf numFmtId="0" fontId="40" fillId="12" borderId="15" xfId="0" applyFont="1" applyFill="1" applyBorder="1"/>
    <xf numFmtId="0" fontId="40" fillId="3" borderId="44" xfId="0" quotePrefix="1" applyFont="1" applyFill="1" applyBorder="1" applyAlignment="1">
      <alignment horizontal="left"/>
    </xf>
    <xf numFmtId="0" fontId="40" fillId="12" borderId="44" xfId="0" applyFont="1" applyFill="1" applyBorder="1"/>
    <xf numFmtId="0" fontId="0" fillId="12" borderId="16" xfId="0" applyFill="1" applyBorder="1"/>
    <xf numFmtId="0" fontId="40" fillId="3" borderId="44" xfId="0" applyFont="1" applyFill="1" applyBorder="1" applyAlignment="1">
      <alignment horizontal="left"/>
    </xf>
    <xf numFmtId="9" fontId="18" fillId="3" borderId="7" xfId="14" quotePrefix="1" applyFont="1" applyFill="1" applyBorder="1"/>
    <xf numFmtId="13" fontId="0" fillId="5" borderId="7" xfId="1" applyNumberFormat="1" applyFont="1" applyFill="1" applyBorder="1" applyAlignment="1"/>
    <xf numFmtId="13" fontId="40" fillId="3" borderId="15" xfId="0" applyNumberFormat="1" applyFont="1" applyFill="1" applyBorder="1"/>
    <xf numFmtId="0" fontId="1" fillId="2" borderId="7" xfId="0" applyFont="1" applyFill="1" applyBorder="1"/>
    <xf numFmtId="1" fontId="0" fillId="5" borderId="8" xfId="0" applyNumberFormat="1" applyFill="1" applyBorder="1"/>
    <xf numFmtId="0" fontId="0" fillId="3" borderId="45" xfId="0" applyFill="1" applyBorder="1"/>
    <xf numFmtId="1" fontId="0" fillId="4" borderId="28" xfId="0" applyNumberFormat="1" applyFill="1" applyBorder="1"/>
    <xf numFmtId="165" fontId="4" fillId="14" borderId="0" xfId="0" applyNumberFormat="1" applyFont="1" applyFill="1"/>
    <xf numFmtId="0" fontId="18" fillId="0" borderId="7" xfId="0" applyFont="1" applyBorder="1"/>
    <xf numFmtId="16" fontId="0" fillId="3" borderId="0" xfId="0" quotePrefix="1" applyNumberFormat="1" applyFill="1"/>
    <xf numFmtId="49" fontId="22" fillId="3" borderId="7" xfId="11" applyNumberFormat="1" applyFont="1" applyFill="1" applyBorder="1" applyAlignment="1">
      <alignment horizontal="center" vertical="center"/>
    </xf>
    <xf numFmtId="0" fontId="0" fillId="6" borderId="46" xfId="0" applyFill="1" applyBorder="1"/>
    <xf numFmtId="0" fontId="0" fillId="0" borderId="23" xfId="0" applyBorder="1" applyAlignment="1">
      <alignment horizontal="center"/>
    </xf>
    <xf numFmtId="0" fontId="0" fillId="0" borderId="33" xfId="0" applyBorder="1"/>
    <xf numFmtId="0" fontId="8" fillId="0" borderId="33" xfId="0" applyFont="1" applyBorder="1" applyAlignment="1">
      <alignment horizontal="center"/>
    </xf>
    <xf numFmtId="0" fontId="0" fillId="6" borderId="33" xfId="0" applyFill="1" applyBorder="1"/>
    <xf numFmtId="2" fontId="0" fillId="0" borderId="34" xfId="0" applyNumberFormat="1" applyBorder="1"/>
    <xf numFmtId="0" fontId="0" fillId="0" borderId="26" xfId="0" applyBorder="1" applyAlignment="1">
      <alignment horizontal="center"/>
    </xf>
    <xf numFmtId="2" fontId="0" fillId="0" borderId="27" xfId="0" applyNumberFormat="1" applyBorder="1"/>
    <xf numFmtId="2" fontId="0" fillId="0" borderId="41" xfId="0" applyNumberFormat="1" applyBorder="1"/>
    <xf numFmtId="0" fontId="0" fillId="0" borderId="47" xfId="0" applyBorder="1" applyAlignment="1">
      <alignment horizontal="center"/>
    </xf>
    <xf numFmtId="2" fontId="0" fillId="0" borderId="48" xfId="0" applyNumberFormat="1" applyBorder="1"/>
    <xf numFmtId="0" fontId="0" fillId="0" borderId="24" xfId="0" applyBorder="1" applyAlignment="1">
      <alignment horizontal="center"/>
    </xf>
    <xf numFmtId="0" fontId="0" fillId="0" borderId="28" xfId="0" applyBorder="1"/>
    <xf numFmtId="0" fontId="8" fillId="0" borderId="28" xfId="0" applyFont="1" applyBorder="1" applyAlignment="1">
      <alignment horizontal="center"/>
    </xf>
    <xf numFmtId="166" fontId="0" fillId="0" borderId="28" xfId="0" applyNumberFormat="1" applyBorder="1"/>
    <xf numFmtId="2" fontId="0" fillId="0" borderId="29" xfId="0" applyNumberFormat="1" applyBorder="1"/>
    <xf numFmtId="0" fontId="1" fillId="5" borderId="7" xfId="8" applyFill="1" applyBorder="1"/>
    <xf numFmtId="0" fontId="1" fillId="5" borderId="7" xfId="8" applyFill="1" applyBorder="1" applyAlignment="1">
      <alignment horizontal="center"/>
    </xf>
    <xf numFmtId="166" fontId="1" fillId="3" borderId="7" xfId="8" applyNumberFormat="1" applyFill="1" applyBorder="1" applyAlignment="1">
      <alignment horizontal="right"/>
    </xf>
    <xf numFmtId="0" fontId="1" fillId="5" borderId="7" xfId="11" quotePrefix="1" applyFill="1" applyBorder="1" applyAlignment="1">
      <alignment horizontal="center" vertical="center"/>
    </xf>
    <xf numFmtId="44" fontId="23" fillId="2" borderId="7" xfId="1" applyFont="1" applyFill="1" applyBorder="1" applyAlignment="1" applyProtection="1">
      <alignment horizontal="center" vertical="center"/>
    </xf>
    <xf numFmtId="0" fontId="43" fillId="3" borderId="0" xfId="11" applyFont="1" applyFill="1" applyAlignment="1">
      <alignment vertical="center"/>
    </xf>
    <xf numFmtId="49" fontId="3" fillId="3" borderId="7" xfId="11" applyNumberFormat="1" applyFont="1" applyFill="1" applyBorder="1" applyAlignment="1">
      <alignment horizontal="center" vertical="center"/>
    </xf>
    <xf numFmtId="0" fontId="8" fillId="6" borderId="40" xfId="0" applyFont="1" applyFill="1" applyBorder="1"/>
    <xf numFmtId="0" fontId="8" fillId="0" borderId="46" xfId="0" applyFont="1" applyBorder="1" applyAlignment="1">
      <alignment horizontal="center"/>
    </xf>
    <xf numFmtId="0" fontId="8" fillId="6" borderId="46" xfId="0" applyFont="1" applyFill="1" applyBorder="1"/>
    <xf numFmtId="166" fontId="0" fillId="8" borderId="46" xfId="0" applyNumberFormat="1" applyFill="1" applyBorder="1"/>
    <xf numFmtId="2" fontId="0" fillId="0" borderId="46" xfId="0" applyNumberFormat="1" applyBorder="1"/>
    <xf numFmtId="0" fontId="8" fillId="6" borderId="10" xfId="0" applyFont="1" applyFill="1" applyBorder="1"/>
    <xf numFmtId="0" fontId="0" fillId="0" borderId="46" xfId="0" applyBorder="1"/>
    <xf numFmtId="0" fontId="0" fillId="15" borderId="0" xfId="0" applyFill="1"/>
    <xf numFmtId="0" fontId="0" fillId="15" borderId="18" xfId="0" applyFill="1" applyBorder="1"/>
    <xf numFmtId="0" fontId="0" fillId="15" borderId="7" xfId="0" applyFill="1" applyBorder="1"/>
    <xf numFmtId="0" fontId="0" fillId="16" borderId="7" xfId="0" applyFill="1" applyBorder="1"/>
    <xf numFmtId="0" fontId="0" fillId="16" borderId="10" xfId="0" applyFill="1" applyBorder="1"/>
    <xf numFmtId="0" fontId="0" fillId="16" borderId="15" xfId="0" applyFill="1" applyBorder="1"/>
    <xf numFmtId="0" fontId="0" fillId="16" borderId="16" xfId="0" applyFill="1" applyBorder="1"/>
    <xf numFmtId="0" fontId="1" fillId="6" borderId="7" xfId="8" applyFill="1" applyBorder="1" applyAlignment="1">
      <alignment horizontal="center"/>
    </xf>
    <xf numFmtId="44" fontId="1" fillId="16" borderId="7" xfId="1" applyFill="1" applyBorder="1"/>
    <xf numFmtId="0" fontId="1" fillId="16" borderId="7" xfId="8" applyFill="1" applyBorder="1"/>
    <xf numFmtId="44" fontId="1" fillId="16" borderId="7" xfId="8" applyNumberFormat="1" applyFill="1" applyBorder="1"/>
    <xf numFmtId="2" fontId="1" fillId="12" borderId="7" xfId="8" applyNumberFormat="1" applyFill="1" applyBorder="1"/>
    <xf numFmtId="9" fontId="0" fillId="4" borderId="0" xfId="14" applyFont="1" applyFill="1" applyBorder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8" fillId="0" borderId="0" xfId="0" applyFont="1" applyAlignment="1">
      <alignment horizontal="left" wrapText="1"/>
    </xf>
    <xf numFmtId="167" fontId="3" fillId="3" borderId="0" xfId="0" applyNumberFormat="1" applyFont="1" applyFill="1"/>
    <xf numFmtId="0" fontId="0" fillId="3" borderId="7" xfId="9" applyFont="1" applyFill="1" applyBorder="1"/>
    <xf numFmtId="0" fontId="8" fillId="17" borderId="7" xfId="8" applyFont="1" applyFill="1" applyBorder="1"/>
    <xf numFmtId="0" fontId="1" fillId="3" borderId="16" xfId="8" applyFill="1" applyBorder="1" applyAlignment="1">
      <alignment horizontal="right"/>
    </xf>
    <xf numFmtId="0" fontId="8" fillId="17" borderId="8" xfId="8" applyFont="1" applyFill="1" applyBorder="1"/>
    <xf numFmtId="0" fontId="8" fillId="17" borderId="15" xfId="8" applyFont="1" applyFill="1" applyBorder="1"/>
    <xf numFmtId="0" fontId="1" fillId="3" borderId="15" xfId="8" applyFill="1" applyBorder="1"/>
    <xf numFmtId="2" fontId="8" fillId="12" borderId="7" xfId="8" applyNumberFormat="1" applyFont="1" applyFill="1" applyBorder="1"/>
    <xf numFmtId="0" fontId="8" fillId="17" borderId="1" xfId="8" applyFont="1" applyFill="1" applyBorder="1"/>
    <xf numFmtId="0" fontId="8" fillId="15" borderId="7" xfId="8" applyFont="1" applyFill="1" applyBorder="1"/>
    <xf numFmtId="2" fontId="1" fillId="15" borderId="7" xfId="8" applyNumberFormat="1" applyFill="1" applyBorder="1"/>
    <xf numFmtId="164" fontId="8" fillId="16" borderId="7" xfId="8" applyNumberFormat="1" applyFont="1" applyFill="1" applyBorder="1"/>
    <xf numFmtId="2" fontId="8" fillId="16" borderId="7" xfId="8" applyNumberFormat="1" applyFont="1" applyFill="1" applyBorder="1"/>
    <xf numFmtId="1" fontId="8" fillId="16" borderId="7" xfId="8" applyNumberFormat="1" applyFont="1" applyFill="1" applyBorder="1"/>
    <xf numFmtId="166" fontId="1" fillId="16" borderId="7" xfId="8" applyNumberFormat="1" applyFill="1" applyBorder="1" applyAlignment="1">
      <alignment horizontal="right"/>
    </xf>
    <xf numFmtId="9" fontId="3" fillId="16" borderId="7" xfId="14" applyFont="1" applyFill="1" applyBorder="1" applyAlignment="1">
      <alignment horizontal="center"/>
    </xf>
    <xf numFmtId="0" fontId="8" fillId="3" borderId="7" xfId="8" applyFont="1" applyFill="1" applyBorder="1" applyAlignment="1">
      <alignment horizontal="center"/>
    </xf>
    <xf numFmtId="2" fontId="1" fillId="16" borderId="7" xfId="8" applyNumberFormat="1" applyFill="1" applyBorder="1" applyAlignment="1">
      <alignment horizontal="right"/>
    </xf>
    <xf numFmtId="0" fontId="8" fillId="3" borderId="7" xfId="8" applyFont="1" applyFill="1" applyBorder="1" applyAlignment="1">
      <alignment horizontal="right"/>
    </xf>
    <xf numFmtId="0" fontId="23" fillId="15" borderId="7" xfId="11" applyFont="1" applyFill="1" applyBorder="1">
      <alignment horizontal="left" vertical="center"/>
    </xf>
    <xf numFmtId="0" fontId="1" fillId="15" borderId="7" xfId="11" applyFill="1" applyBorder="1">
      <alignment horizontal="left" vertical="center"/>
    </xf>
    <xf numFmtId="0" fontId="8" fillId="2" borderId="7" xfId="11" applyFont="1" applyFill="1" applyBorder="1">
      <alignment horizontal="left" vertical="center"/>
    </xf>
    <xf numFmtId="0" fontId="15" fillId="15" borderId="7" xfId="11" applyFont="1" applyFill="1" applyBorder="1" applyAlignment="1" applyProtection="1">
      <alignment vertical="center"/>
      <protection locked="0"/>
    </xf>
    <xf numFmtId="0" fontId="15" fillId="15" borderId="0" xfId="11" applyFont="1" applyFill="1">
      <alignment horizontal="left" vertical="center"/>
    </xf>
    <xf numFmtId="0" fontId="1" fillId="15" borderId="0" xfId="11" applyFill="1">
      <alignment horizontal="left" vertical="center"/>
    </xf>
    <xf numFmtId="0" fontId="8" fillId="15" borderId="6" xfId="11" applyFont="1" applyFill="1" applyBorder="1">
      <alignment horizontal="left" vertical="center"/>
    </xf>
    <xf numFmtId="0" fontId="15" fillId="15" borderId="5" xfId="11" applyFont="1" applyFill="1" applyBorder="1">
      <alignment horizontal="left" vertical="center"/>
    </xf>
    <xf numFmtId="0" fontId="15" fillId="16" borderId="7" xfId="11" applyFont="1" applyFill="1" applyBorder="1" applyProtection="1">
      <alignment horizontal="left" vertical="center"/>
      <protection locked="0"/>
    </xf>
    <xf numFmtId="0" fontId="8" fillId="15" borderId="7" xfId="0" applyFont="1" applyFill="1" applyBorder="1"/>
    <xf numFmtId="0" fontId="62" fillId="3" borderId="7" xfId="0" applyFont="1" applyFill="1" applyBorder="1"/>
    <xf numFmtId="2" fontId="8" fillId="4" borderId="7" xfId="0" applyNumberFormat="1" applyFont="1" applyFill="1" applyBorder="1" applyProtection="1">
      <protection locked="0" hidden="1"/>
    </xf>
    <xf numFmtId="0" fontId="8" fillId="3" borderId="26" xfId="0" applyFont="1" applyFill="1" applyBorder="1"/>
    <xf numFmtId="0" fontId="8" fillId="4" borderId="27" xfId="0" applyFont="1" applyFill="1" applyBorder="1"/>
    <xf numFmtId="0" fontId="15" fillId="15" borderId="6" xfId="11" applyFont="1" applyFill="1" applyBorder="1">
      <alignment horizontal="left" vertical="center"/>
    </xf>
    <xf numFmtId="0" fontId="15" fillId="15" borderId="11" xfId="11" applyFont="1" applyFill="1" applyBorder="1">
      <alignment horizontal="left" vertical="center"/>
    </xf>
    <xf numFmtId="0" fontId="17" fillId="15" borderId="0" xfId="11" applyFont="1" applyFill="1">
      <alignment horizontal="left" vertical="center"/>
    </xf>
    <xf numFmtId="0" fontId="15" fillId="15" borderId="0" xfId="11" quotePrefix="1" applyFont="1" applyFill="1">
      <alignment horizontal="left" vertical="center"/>
    </xf>
    <xf numFmtId="0" fontId="14" fillId="15" borderId="0" xfId="11" applyFont="1" applyFill="1" applyAlignment="1"/>
    <xf numFmtId="0" fontId="35" fillId="15" borderId="0" xfId="11" quotePrefix="1" applyFont="1" applyFill="1" applyAlignment="1">
      <alignment horizontal="right" vertical="center"/>
    </xf>
    <xf numFmtId="166" fontId="15" fillId="15" borderId="7" xfId="11" applyNumberFormat="1" applyFont="1" applyFill="1" applyBorder="1">
      <alignment horizontal="left" vertical="center"/>
    </xf>
    <xf numFmtId="0" fontId="1" fillId="15" borderId="6" xfId="11" applyFill="1" applyBorder="1" applyAlignment="1">
      <alignment vertical="center"/>
    </xf>
    <xf numFmtId="0" fontId="15" fillId="15" borderId="19" xfId="11" applyFont="1" applyFill="1" applyBorder="1">
      <alignment horizontal="left" vertical="center"/>
    </xf>
    <xf numFmtId="0" fontId="15" fillId="15" borderId="17" xfId="11" applyFont="1" applyFill="1" applyBorder="1">
      <alignment horizontal="left" vertical="center"/>
    </xf>
    <xf numFmtId="0" fontId="15" fillId="15" borderId="23" xfId="11" applyFont="1" applyFill="1" applyBorder="1" applyAlignment="1">
      <alignment horizontal="right" vertical="center"/>
    </xf>
    <xf numFmtId="0" fontId="1" fillId="15" borderId="17" xfId="11" applyFill="1" applyBorder="1">
      <alignment horizontal="left" vertical="center"/>
    </xf>
    <xf numFmtId="0" fontId="15" fillId="15" borderId="22" xfId="11" applyFont="1" applyFill="1" applyBorder="1">
      <alignment horizontal="left" vertical="center"/>
    </xf>
    <xf numFmtId="0" fontId="20" fillId="15" borderId="32" xfId="11" quotePrefix="1" applyFont="1" applyFill="1" applyBorder="1" applyAlignment="1">
      <alignment horizontal="right" vertical="center"/>
    </xf>
    <xf numFmtId="0" fontId="2" fillId="15" borderId="0" xfId="11" applyFont="1" applyFill="1" applyAlignment="1">
      <alignment vertical="center"/>
    </xf>
    <xf numFmtId="0" fontId="15" fillId="15" borderId="18" xfId="11" applyFont="1" applyFill="1" applyBorder="1">
      <alignment horizontal="left" vertical="center"/>
    </xf>
    <xf numFmtId="0" fontId="20" fillId="15" borderId="26" xfId="11" applyFont="1" applyFill="1" applyBorder="1" applyAlignment="1">
      <alignment horizontal="right" vertical="center"/>
    </xf>
    <xf numFmtId="0" fontId="35" fillId="15" borderId="0" xfId="11" applyFont="1" applyFill="1">
      <alignment horizontal="left" vertical="center"/>
    </xf>
    <xf numFmtId="0" fontId="15" fillId="15" borderId="21" xfId="11" applyFont="1" applyFill="1" applyBorder="1">
      <alignment horizontal="left" vertical="center"/>
    </xf>
    <xf numFmtId="0" fontId="35" fillId="15" borderId="20" xfId="11" quotePrefix="1" applyFont="1" applyFill="1" applyBorder="1" applyAlignment="1">
      <alignment horizontal="right" vertical="center"/>
    </xf>
    <xf numFmtId="0" fontId="15" fillId="15" borderId="26" xfId="11" applyFont="1" applyFill="1" applyBorder="1">
      <alignment horizontal="left" vertical="center"/>
    </xf>
    <xf numFmtId="0" fontId="15" fillId="15" borderId="24" xfId="11" applyFont="1" applyFill="1" applyBorder="1" applyAlignment="1">
      <alignment horizontal="right" vertical="center"/>
    </xf>
    <xf numFmtId="1" fontId="15" fillId="16" borderId="7" xfId="11" applyNumberFormat="1" applyFont="1" applyFill="1" applyBorder="1" applyProtection="1">
      <alignment horizontal="left" vertical="center"/>
      <protection locked="0"/>
    </xf>
    <xf numFmtId="0" fontId="8" fillId="3" borderId="7" xfId="9" applyFont="1" applyFill="1" applyBorder="1"/>
    <xf numFmtId="166" fontId="1" fillId="12" borderId="7" xfId="8" applyNumberFormat="1" applyFill="1" applyBorder="1"/>
    <xf numFmtId="0" fontId="1" fillId="3" borderId="20" xfId="8" applyFill="1" applyBorder="1"/>
    <xf numFmtId="0" fontId="8" fillId="15" borderId="0" xfId="0" applyFont="1" applyFill="1"/>
    <xf numFmtId="0" fontId="0" fillId="15" borderId="17" xfId="0" applyFill="1" applyBorder="1"/>
    <xf numFmtId="0" fontId="0" fillId="15" borderId="22" xfId="0" applyFill="1" applyBorder="1"/>
    <xf numFmtId="0" fontId="0" fillId="15" borderId="26" xfId="0" applyFill="1" applyBorder="1"/>
    <xf numFmtId="0" fontId="8" fillId="15" borderId="24" xfId="0" applyFont="1" applyFill="1" applyBorder="1"/>
    <xf numFmtId="0" fontId="0" fillId="15" borderId="19" xfId="0" applyFill="1" applyBorder="1"/>
    <xf numFmtId="0" fontId="0" fillId="15" borderId="28" xfId="0" applyFill="1" applyBorder="1"/>
    <xf numFmtId="0" fontId="8" fillId="4" borderId="29" xfId="0" applyFont="1" applyFill="1" applyBorder="1"/>
    <xf numFmtId="0" fontId="0" fillId="15" borderId="21" xfId="0" applyFill="1" applyBorder="1"/>
    <xf numFmtId="0" fontId="8" fillId="6" borderId="28" xfId="0" applyFont="1" applyFill="1" applyBorder="1"/>
    <xf numFmtId="0" fontId="8" fillId="15" borderId="0" xfId="0" quotePrefix="1" applyFont="1" applyFill="1"/>
    <xf numFmtId="1" fontId="3" fillId="6" borderId="23" xfId="0" applyNumberFormat="1" applyFont="1" applyFill="1" applyBorder="1" applyAlignment="1">
      <alignment horizontal="center"/>
    </xf>
    <xf numFmtId="0" fontId="8" fillId="16" borderId="49" xfId="0" applyFont="1" applyFill="1" applyBorder="1" applyAlignment="1">
      <alignment horizontal="center"/>
    </xf>
    <xf numFmtId="0" fontId="8" fillId="16" borderId="50" xfId="0" applyFont="1" applyFill="1" applyBorder="1" applyAlignment="1">
      <alignment horizontal="center"/>
    </xf>
    <xf numFmtId="1" fontId="3" fillId="6" borderId="23" xfId="0" applyNumberFormat="1" applyFont="1" applyFill="1" applyBorder="1" applyAlignment="1">
      <alignment horizontal="center" wrapText="1"/>
    </xf>
    <xf numFmtId="0" fontId="36" fillId="15" borderId="0" xfId="11" applyFont="1" applyFill="1">
      <alignment horizontal="left" vertical="center"/>
    </xf>
    <xf numFmtId="0" fontId="16" fillId="15" borderId="0" xfId="11" applyFont="1" applyFill="1">
      <alignment horizontal="left" vertical="center"/>
    </xf>
    <xf numFmtId="0" fontId="15" fillId="15" borderId="1" xfId="11" applyFont="1" applyFill="1" applyBorder="1">
      <alignment horizontal="left" vertical="center"/>
    </xf>
    <xf numFmtId="0" fontId="15" fillId="15" borderId="2" xfId="11" applyFont="1" applyFill="1" applyBorder="1">
      <alignment horizontal="left" vertical="center"/>
    </xf>
    <xf numFmtId="0" fontId="15" fillId="15" borderId="3" xfId="11" applyFont="1" applyFill="1" applyBorder="1">
      <alignment horizontal="left" vertical="center"/>
    </xf>
    <xf numFmtId="0" fontId="1" fillId="15" borderId="4" xfId="11" quotePrefix="1" applyFill="1" applyBorder="1">
      <alignment horizontal="left" vertical="center"/>
    </xf>
    <xf numFmtId="0" fontId="15" fillId="15" borderId="20" xfId="11" applyFont="1" applyFill="1" applyBorder="1">
      <alignment horizontal="left" vertical="center"/>
    </xf>
    <xf numFmtId="0" fontId="15" fillId="15" borderId="4" xfId="11" applyFont="1" applyFill="1" applyBorder="1">
      <alignment horizontal="left" vertical="center"/>
    </xf>
    <xf numFmtId="0" fontId="63" fillId="15" borderId="20" xfId="11" applyFont="1" applyFill="1" applyBorder="1">
      <alignment horizontal="left" vertical="center"/>
    </xf>
    <xf numFmtId="0" fontId="19" fillId="15" borderId="4" xfId="11" applyFont="1" applyFill="1" applyBorder="1" applyProtection="1">
      <alignment horizontal="left" vertical="center"/>
      <protection locked="0"/>
    </xf>
    <xf numFmtId="0" fontId="8" fillId="15" borderId="6" xfId="11" applyFont="1" applyFill="1" applyBorder="1" applyAlignment="1">
      <alignment vertical="center"/>
    </xf>
    <xf numFmtId="0" fontId="64" fillId="15" borderId="0" xfId="11" applyFont="1" applyFill="1">
      <alignment horizontal="left" vertical="center"/>
    </xf>
    <xf numFmtId="0" fontId="42" fillId="3" borderId="0" xfId="8" applyFont="1" applyFill="1"/>
    <xf numFmtId="0" fontId="14" fillId="15" borderId="0" xfId="12" applyFont="1" applyFill="1" applyAlignment="1"/>
    <xf numFmtId="0" fontId="8" fillId="15" borderId="0" xfId="12" applyFill="1">
      <alignment horizontal="left" vertical="center"/>
    </xf>
    <xf numFmtId="0" fontId="15" fillId="15" borderId="6" xfId="12" applyFont="1" applyFill="1" applyBorder="1">
      <alignment horizontal="left" vertical="center"/>
    </xf>
    <xf numFmtId="0" fontId="15" fillId="15" borderId="11" xfId="12" applyFont="1" applyFill="1" applyBorder="1">
      <alignment horizontal="left" vertical="center"/>
    </xf>
    <xf numFmtId="0" fontId="15" fillId="15" borderId="0" xfId="12" applyFont="1" applyFill="1">
      <alignment horizontal="left" vertical="center"/>
    </xf>
    <xf numFmtId="0" fontId="24" fillId="15" borderId="0" xfId="12" applyFont="1" applyFill="1" applyAlignment="1">
      <alignment vertical="center"/>
    </xf>
    <xf numFmtId="0" fontId="5" fillId="15" borderId="7" xfId="12" quotePrefix="1" applyFont="1" applyFill="1" applyBorder="1" applyAlignment="1" applyProtection="1">
      <alignment horizontal="center" vertical="center"/>
      <protection locked="0"/>
    </xf>
    <xf numFmtId="0" fontId="8" fillId="15" borderId="0" xfId="12" quotePrefix="1" applyFill="1">
      <alignment horizontal="left" vertical="center"/>
    </xf>
    <xf numFmtId="0" fontId="19" fillId="15" borderId="0" xfId="12" applyFont="1" applyFill="1">
      <alignment horizontal="left" vertical="center"/>
    </xf>
    <xf numFmtId="0" fontId="17" fillId="15" borderId="0" xfId="12" applyFont="1" applyFill="1">
      <alignment horizontal="left" vertical="center"/>
    </xf>
    <xf numFmtId="0" fontId="8" fillId="4" borderId="7" xfId="0" quotePrefix="1" applyFont="1" applyFill="1" applyBorder="1"/>
    <xf numFmtId="0" fontId="8" fillId="0" borderId="0" xfId="0" quotePrefix="1" applyFont="1" applyAlignment="1">
      <alignment horizontal="left"/>
    </xf>
    <xf numFmtId="0" fontId="62" fillId="3" borderId="10" xfId="0" applyFont="1" applyFill="1" applyBorder="1" applyAlignment="1">
      <alignment horizontal="center"/>
    </xf>
    <xf numFmtId="164" fontId="8" fillId="7" borderId="7" xfId="0" applyNumberFormat="1" applyFont="1" applyFill="1" applyBorder="1"/>
    <xf numFmtId="0" fontId="20" fillId="15" borderId="51" xfId="11" quotePrefix="1" applyFont="1" applyFill="1" applyBorder="1" applyAlignment="1">
      <alignment horizontal="right" vertical="center"/>
    </xf>
    <xf numFmtId="0" fontId="8" fillId="15" borderId="44" xfId="11" applyFont="1" applyFill="1" applyBorder="1">
      <alignment horizontal="left" vertical="center"/>
    </xf>
    <xf numFmtId="0" fontId="15" fillId="15" borderId="2" xfId="11" applyFont="1" applyFill="1" applyBorder="1" applyAlignment="1">
      <alignment vertical="center"/>
    </xf>
    <xf numFmtId="167" fontId="8" fillId="18" borderId="7" xfId="1" applyNumberFormat="1" applyFont="1" applyFill="1" applyBorder="1"/>
    <xf numFmtId="0" fontId="15" fillId="15" borderId="15" xfId="11" applyFont="1" applyFill="1" applyBorder="1" applyAlignment="1">
      <alignment vertical="center"/>
    </xf>
    <xf numFmtId="0" fontId="15" fillId="15" borderId="6" xfId="11" applyFont="1" applyFill="1" applyBorder="1" applyAlignment="1">
      <alignment vertical="center"/>
    </xf>
    <xf numFmtId="0" fontId="24" fillId="15" borderId="0" xfId="11" applyFont="1" applyFill="1" applyAlignment="1">
      <alignment vertical="center" wrapText="1"/>
    </xf>
    <xf numFmtId="0" fontId="15" fillId="15" borderId="0" xfId="11" applyFont="1" applyFill="1" applyAlignment="1">
      <alignment vertical="center"/>
    </xf>
    <xf numFmtId="0" fontId="15" fillId="15" borderId="20" xfId="11" applyFont="1" applyFill="1" applyBorder="1" applyAlignment="1">
      <alignment horizontal="right" vertical="center"/>
    </xf>
    <xf numFmtId="0" fontId="15" fillId="15" borderId="0" xfId="11" applyFont="1" applyFill="1" applyAlignment="1">
      <alignment horizontal="right" vertical="center"/>
    </xf>
    <xf numFmtId="0" fontId="8" fillId="15" borderId="0" xfId="11" applyFont="1" applyFill="1">
      <alignment horizontal="left" vertical="center"/>
    </xf>
    <xf numFmtId="0" fontId="8" fillId="15" borderId="7" xfId="11" applyFont="1" applyFill="1" applyBorder="1">
      <alignment horizontal="left" vertical="center"/>
    </xf>
    <xf numFmtId="0" fontId="8" fillId="18" borderId="7" xfId="11" applyFont="1" applyFill="1" applyBorder="1">
      <alignment horizontal="left" vertical="center"/>
    </xf>
    <xf numFmtId="0" fontId="1" fillId="15" borderId="0" xfId="11" applyFill="1" applyAlignment="1">
      <alignment vertical="center"/>
    </xf>
    <xf numFmtId="0" fontId="63" fillId="15" borderId="0" xfId="11" applyFont="1" applyFill="1" applyAlignment="1">
      <alignment vertical="center" wrapText="1"/>
    </xf>
    <xf numFmtId="0" fontId="62" fillId="6" borderId="7" xfId="0" applyFont="1" applyFill="1" applyBorder="1"/>
    <xf numFmtId="0" fontId="62" fillId="4" borderId="7" xfId="0" applyFont="1" applyFill="1" applyBorder="1"/>
    <xf numFmtId="1" fontId="0" fillId="2" borderId="7" xfId="0" applyNumberFormat="1" applyFill="1" applyBorder="1" applyAlignment="1">
      <alignment horizontal="center" vertical="center"/>
    </xf>
    <xf numFmtId="0" fontId="18" fillId="2" borderId="7" xfId="0" applyFont="1" applyFill="1" applyBorder="1"/>
    <xf numFmtId="44" fontId="3" fillId="6" borderId="7" xfId="2" applyFont="1" applyFill="1" applyBorder="1" applyAlignment="1">
      <alignment horizontal="left"/>
    </xf>
    <xf numFmtId="44" fontId="3" fillId="7" borderId="7" xfId="2" applyFont="1" applyFill="1" applyBorder="1" applyAlignment="1">
      <alignment horizontal="left"/>
    </xf>
    <xf numFmtId="44" fontId="3" fillId="5" borderId="7" xfId="2" applyFont="1" applyFill="1" applyBorder="1" applyAlignment="1">
      <alignment horizontal="left"/>
    </xf>
    <xf numFmtId="0" fontId="8" fillId="15" borderId="6" xfId="12" applyFill="1" applyBorder="1">
      <alignment horizontal="left" vertical="center"/>
    </xf>
    <xf numFmtId="16" fontId="0" fillId="3" borderId="19" xfId="0" quotePrefix="1" applyNumberFormat="1" applyFill="1" applyBorder="1"/>
    <xf numFmtId="167" fontId="3" fillId="3" borderId="7" xfId="1" applyNumberFormat="1" applyFont="1" applyFill="1" applyBorder="1"/>
    <xf numFmtId="0" fontId="15" fillId="15" borderId="7" xfId="12" applyFont="1" applyFill="1" applyBorder="1">
      <alignment horizontal="left" vertical="center"/>
    </xf>
    <xf numFmtId="0" fontId="8" fillId="3" borderId="31" xfId="0" applyFont="1" applyFill="1" applyBorder="1"/>
    <xf numFmtId="0" fontId="3" fillId="3" borderId="0" xfId="0" applyFont="1" applyFill="1" applyAlignment="1">
      <alignment horizontal="right"/>
    </xf>
    <xf numFmtId="167" fontId="1" fillId="15" borderId="7" xfId="1" applyNumberFormat="1" applyFill="1" applyBorder="1"/>
    <xf numFmtId="167" fontId="1" fillId="15" borderId="0" xfId="1" applyNumberFormat="1" applyFill="1" applyBorder="1"/>
    <xf numFmtId="0" fontId="65" fillId="15" borderId="9" xfId="0" applyFont="1" applyFill="1" applyBorder="1"/>
    <xf numFmtId="14" fontId="3" fillId="5" borderId="7" xfId="0" applyNumberFormat="1" applyFont="1" applyFill="1" applyBorder="1"/>
    <xf numFmtId="1" fontId="15" fillId="15" borderId="7" xfId="11" applyNumberFormat="1" applyFont="1" applyFill="1" applyBorder="1" applyProtection="1">
      <alignment horizontal="left" vertical="center"/>
      <protection locked="0"/>
    </xf>
    <xf numFmtId="0" fontId="20" fillId="15" borderId="7" xfId="11" quotePrefix="1" applyFont="1" applyFill="1" applyBorder="1" applyAlignment="1">
      <alignment horizontal="right" vertical="center"/>
    </xf>
    <xf numFmtId="0" fontId="23" fillId="15" borderId="0" xfId="11" applyFont="1" applyFill="1">
      <alignment horizontal="left" vertical="center"/>
    </xf>
    <xf numFmtId="0" fontId="1" fillId="15" borderId="0" xfId="11" quotePrefix="1" applyFill="1">
      <alignment horizontal="left" vertical="center"/>
    </xf>
    <xf numFmtId="0" fontId="1" fillId="15" borderId="0" xfId="11" applyFill="1" applyAlignment="1">
      <alignment horizontal="left" vertical="center" textRotation="90"/>
    </xf>
    <xf numFmtId="0" fontId="30" fillId="15" borderId="0" xfId="8" applyFont="1" applyFill="1"/>
    <xf numFmtId="0" fontId="15" fillId="15" borderId="5" xfId="11" applyFont="1" applyFill="1" applyBorder="1" applyAlignment="1">
      <alignment vertical="center"/>
    </xf>
    <xf numFmtId="0" fontId="44" fillId="15" borderId="0" xfId="0" applyFont="1" applyFill="1" applyAlignment="1">
      <alignment vertical="top" wrapText="1"/>
    </xf>
    <xf numFmtId="0" fontId="13" fillId="15" borderId="0" xfId="4" applyFill="1" applyBorder="1" applyAlignment="1" applyProtection="1">
      <alignment vertical="top" wrapText="1"/>
    </xf>
    <xf numFmtId="0" fontId="64" fillId="16" borderId="7" xfId="11" applyFont="1" applyFill="1" applyBorder="1" applyProtection="1">
      <alignment horizontal="left" vertical="center"/>
      <protection locked="0"/>
    </xf>
    <xf numFmtId="0" fontId="8" fillId="15" borderId="4" xfId="11" quotePrefix="1" applyFont="1" applyFill="1" applyBorder="1">
      <alignment horizontal="left" vertical="center"/>
    </xf>
    <xf numFmtId="0" fontId="8" fillId="15" borderId="4" xfId="11" applyFont="1" applyFill="1" applyBorder="1">
      <alignment horizontal="left" vertical="center"/>
    </xf>
    <xf numFmtId="0" fontId="8" fillId="2" borderId="7" xfId="12" applyFill="1" applyBorder="1">
      <alignment horizontal="left" vertical="center"/>
    </xf>
    <xf numFmtId="49" fontId="3" fillId="3" borderId="7" xfId="12" applyNumberFormat="1" applyFont="1" applyFill="1" applyBorder="1" applyAlignment="1">
      <alignment horizontal="center" vertical="center"/>
    </xf>
    <xf numFmtId="0" fontId="8" fillId="3" borderId="7" xfId="12" applyFill="1" applyBorder="1">
      <alignment horizontal="left" vertical="center"/>
    </xf>
    <xf numFmtId="0" fontId="8" fillId="15" borderId="7" xfId="12" applyFill="1" applyBorder="1">
      <alignment horizontal="left" vertical="center"/>
    </xf>
    <xf numFmtId="1" fontId="8" fillId="2" borderId="15" xfId="12" quotePrefix="1" applyNumberFormat="1" applyFill="1" applyBorder="1" applyAlignment="1">
      <alignment vertical="center"/>
    </xf>
    <xf numFmtId="0" fontId="8" fillId="2" borderId="7" xfId="12" applyFill="1" applyBorder="1" applyAlignment="1">
      <alignment horizontal="center" vertical="center"/>
    </xf>
    <xf numFmtId="0" fontId="3" fillId="2" borderId="7" xfId="12" applyFont="1" applyFill="1" applyBorder="1">
      <alignment horizontal="left" vertical="center"/>
    </xf>
    <xf numFmtId="0" fontId="3" fillId="3" borderId="10" xfId="12" applyFont="1" applyFill="1" applyBorder="1" applyAlignment="1">
      <alignment horizontal="center" vertical="center"/>
    </xf>
    <xf numFmtId="0" fontId="8" fillId="2" borderId="0" xfId="12" applyFill="1">
      <alignment horizontal="left" vertical="center"/>
    </xf>
    <xf numFmtId="0" fontId="26" fillId="15" borderId="0" xfId="11" applyFont="1" applyFill="1">
      <alignment horizontal="left" vertical="center"/>
    </xf>
    <xf numFmtId="0" fontId="43" fillId="15" borderId="0" xfId="11" applyFont="1" applyFill="1">
      <alignment horizontal="left" vertical="center"/>
    </xf>
    <xf numFmtId="0" fontId="15" fillId="15" borderId="7" xfId="11" applyFont="1" applyFill="1" applyBorder="1">
      <alignment horizontal="left" vertical="center"/>
    </xf>
    <xf numFmtId="49" fontId="13" fillId="5" borderId="7" xfId="4" applyNumberFormat="1" applyFill="1" applyBorder="1" applyAlignment="1" applyProtection="1">
      <alignment vertical="center"/>
      <protection locked="0"/>
    </xf>
    <xf numFmtId="1" fontId="62" fillId="15" borderId="7" xfId="0" applyNumberFormat="1" applyFont="1" applyFill="1" applyBorder="1" applyAlignment="1">
      <alignment horizontal="center"/>
    </xf>
    <xf numFmtId="0" fontId="0" fillId="19" borderId="0" xfId="0" applyFill="1"/>
    <xf numFmtId="1" fontId="0" fillId="19" borderId="7" xfId="0" applyNumberFormat="1" applyFill="1" applyBorder="1" applyAlignment="1">
      <alignment horizontal="center"/>
    </xf>
    <xf numFmtId="9" fontId="18" fillId="19" borderId="7" xfId="0" quotePrefix="1" applyNumberFormat="1" applyFont="1" applyFill="1" applyBorder="1"/>
    <xf numFmtId="1" fontId="62" fillId="3" borderId="10" xfId="0" applyNumberFormat="1" applyFont="1" applyFill="1" applyBorder="1" applyAlignment="1">
      <alignment horizontal="center"/>
    </xf>
    <xf numFmtId="10" fontId="8" fillId="13" borderId="7" xfId="14" applyNumberFormat="1" applyFont="1" applyFill="1" applyBorder="1"/>
    <xf numFmtId="0" fontId="66" fillId="20" borderId="7" xfId="11" applyFont="1" applyFill="1" applyBorder="1" applyAlignment="1">
      <alignment horizontal="center" vertical="center"/>
    </xf>
    <xf numFmtId="0" fontId="66" fillId="20" borderId="7" xfId="12" applyFont="1" applyFill="1" applyBorder="1" applyAlignment="1">
      <alignment horizontal="center" vertical="center"/>
    </xf>
    <xf numFmtId="0" fontId="62" fillId="2" borderId="7" xfId="11" applyFont="1" applyFill="1" applyBorder="1">
      <alignment horizontal="left" vertical="center"/>
    </xf>
    <xf numFmtId="0" fontId="8" fillId="7" borderId="7" xfId="11" applyFont="1" applyFill="1" applyBorder="1">
      <alignment horizontal="left" vertical="center"/>
    </xf>
    <xf numFmtId="0" fontId="67" fillId="20" borderId="0" xfId="12" applyFont="1" applyFill="1" applyAlignment="1">
      <alignment horizontal="center" vertical="center"/>
    </xf>
    <xf numFmtId="0" fontId="63" fillId="15" borderId="0" xfId="11" applyFont="1" applyFill="1">
      <alignment horizontal="left" vertical="center"/>
    </xf>
    <xf numFmtId="44" fontId="63" fillId="15" borderId="0" xfId="1" applyFont="1" applyFill="1" applyAlignment="1" applyProtection="1">
      <alignment horizontal="left" vertical="center"/>
    </xf>
    <xf numFmtId="0" fontId="1" fillId="15" borderId="0" xfId="11" quotePrefix="1" applyFill="1" applyAlignment="1">
      <alignment vertical="center"/>
    </xf>
    <xf numFmtId="0" fontId="14" fillId="15" borderId="0" xfId="11" applyFont="1" applyFill="1" applyAlignment="1">
      <alignment horizontal="left"/>
    </xf>
    <xf numFmtId="0" fontId="36" fillId="15" borderId="0" xfId="11" applyFont="1" applyFill="1" applyAlignment="1">
      <alignment horizontal="right" vertical="center"/>
    </xf>
    <xf numFmtId="167" fontId="8" fillId="3" borderId="7" xfId="8" applyNumberFormat="1" applyFont="1" applyFill="1" applyBorder="1"/>
    <xf numFmtId="0" fontId="8" fillId="3" borderId="0" xfId="8" applyFont="1" applyFill="1" applyAlignment="1">
      <alignment horizontal="right"/>
    </xf>
    <xf numFmtId="167" fontId="63" fillId="15" borderId="0" xfId="1" applyNumberFormat="1" applyFont="1" applyFill="1" applyBorder="1" applyAlignment="1" applyProtection="1">
      <alignment horizontal="left" vertical="center"/>
    </xf>
    <xf numFmtId="0" fontId="63" fillId="15" borderId="0" xfId="11" applyFont="1" applyFill="1" applyAlignment="1">
      <alignment horizontal="right" vertical="center"/>
    </xf>
    <xf numFmtId="0" fontId="36" fillId="15" borderId="4" xfId="11" applyFont="1" applyFill="1" applyBorder="1">
      <alignment horizontal="left" vertical="center"/>
    </xf>
    <xf numFmtId="0" fontId="45" fillId="3" borderId="0" xfId="11" applyFont="1" applyFill="1" applyProtection="1">
      <alignment horizontal="left" vertical="center"/>
      <protection hidden="1"/>
    </xf>
    <xf numFmtId="0" fontId="45" fillId="3" borderId="0" xfId="11" applyFont="1" applyFill="1" applyAlignment="1" applyProtection="1">
      <alignment vertical="center"/>
      <protection hidden="1"/>
    </xf>
    <xf numFmtId="0" fontId="26" fillId="3" borderId="0" xfId="11" applyFont="1" applyFill="1" applyProtection="1">
      <alignment horizontal="left" vertical="center"/>
      <protection hidden="1"/>
    </xf>
    <xf numFmtId="0" fontId="45" fillId="3" borderId="2" xfId="11" applyFont="1" applyFill="1" applyBorder="1" applyAlignment="1" applyProtection="1">
      <alignment vertical="center"/>
      <protection hidden="1"/>
    </xf>
    <xf numFmtId="0" fontId="45" fillId="3" borderId="4" xfId="11" applyFont="1" applyFill="1" applyBorder="1" applyAlignment="1" applyProtection="1">
      <alignment vertical="center"/>
      <protection hidden="1"/>
    </xf>
    <xf numFmtId="0" fontId="45" fillId="3" borderId="20" xfId="11" applyFont="1" applyFill="1" applyBorder="1" applyAlignment="1" applyProtection="1">
      <alignment vertical="center"/>
      <protection hidden="1"/>
    </xf>
    <xf numFmtId="0" fontId="45" fillId="3" borderId="3" xfId="11" applyFont="1" applyFill="1" applyBorder="1" applyAlignment="1" applyProtection="1">
      <alignment vertical="center"/>
      <protection hidden="1"/>
    </xf>
    <xf numFmtId="0" fontId="45" fillId="3" borderId="20" xfId="11" applyFont="1" applyFill="1" applyBorder="1" applyProtection="1">
      <alignment horizontal="left" vertical="center"/>
      <protection hidden="1"/>
    </xf>
    <xf numFmtId="0" fontId="45" fillId="3" borderId="4" xfId="11" applyFont="1" applyFill="1" applyBorder="1" applyProtection="1">
      <alignment horizontal="left" vertical="center"/>
      <protection hidden="1"/>
    </xf>
    <xf numFmtId="0" fontId="45" fillId="3" borderId="5" xfId="11" applyFont="1" applyFill="1" applyBorder="1" applyProtection="1">
      <alignment horizontal="left" vertical="center"/>
      <protection hidden="1"/>
    </xf>
    <xf numFmtId="0" fontId="45" fillId="3" borderId="6" xfId="11" applyFont="1" applyFill="1" applyBorder="1" applyProtection="1">
      <alignment horizontal="left" vertical="center"/>
      <protection hidden="1"/>
    </xf>
    <xf numFmtId="0" fontId="52" fillId="3" borderId="0" xfId="11" applyFont="1" applyFill="1" applyAlignment="1" applyProtection="1">
      <protection hidden="1"/>
    </xf>
    <xf numFmtId="0" fontId="47" fillId="3" borderId="0" xfId="11" applyFont="1" applyFill="1" applyProtection="1">
      <alignment horizontal="left" vertical="center"/>
      <protection hidden="1"/>
    </xf>
    <xf numFmtId="0" fontId="48" fillId="3" borderId="6" xfId="11" applyFont="1" applyFill="1" applyBorder="1" applyAlignment="1" applyProtection="1">
      <alignment vertical="center"/>
      <protection hidden="1"/>
    </xf>
    <xf numFmtId="168" fontId="48" fillId="3" borderId="6" xfId="1" quotePrefix="1" applyNumberFormat="1" applyFont="1" applyFill="1" applyBorder="1" applyAlignment="1" applyProtection="1">
      <alignment vertical="center"/>
      <protection hidden="1"/>
    </xf>
    <xf numFmtId="0" fontId="15" fillId="3" borderId="0" xfId="11" applyFont="1" applyFill="1" applyProtection="1">
      <alignment horizontal="left" vertical="center"/>
      <protection hidden="1"/>
    </xf>
    <xf numFmtId="0" fontId="46" fillId="3" borderId="0" xfId="11" applyFont="1" applyFill="1" applyProtection="1">
      <alignment horizontal="left" vertical="center"/>
      <protection hidden="1"/>
    </xf>
    <xf numFmtId="0" fontId="15" fillId="21" borderId="0" xfId="11" applyFont="1" applyFill="1">
      <alignment horizontal="left" vertical="center"/>
    </xf>
    <xf numFmtId="0" fontId="2" fillId="5" borderId="12" xfId="0" quotePrefix="1" applyFont="1" applyFill="1" applyBorder="1"/>
    <xf numFmtId="0" fontId="2" fillId="5" borderId="14" xfId="0" quotePrefix="1" applyFont="1" applyFill="1" applyBorder="1"/>
    <xf numFmtId="0" fontId="2" fillId="5" borderId="13" xfId="0" quotePrefix="1" applyFont="1" applyFill="1" applyBorder="1"/>
    <xf numFmtId="0" fontId="35" fillId="15" borderId="16" xfId="11" applyFont="1" applyFill="1" applyBorder="1" applyAlignment="1">
      <alignment vertical="center"/>
    </xf>
    <xf numFmtId="0" fontId="8" fillId="6" borderId="8" xfId="0" applyFont="1" applyFill="1" applyBorder="1"/>
    <xf numFmtId="49" fontId="2" fillId="5" borderId="12" xfId="0" quotePrefix="1" applyNumberFormat="1" applyFont="1" applyFill="1" applyBorder="1"/>
    <xf numFmtId="49" fontId="2" fillId="5" borderId="13" xfId="0" quotePrefix="1" applyNumberFormat="1" applyFont="1" applyFill="1" applyBorder="1"/>
    <xf numFmtId="2" fontId="15" fillId="3" borderId="0" xfId="10" applyNumberFormat="1" applyFont="1" applyFill="1"/>
    <xf numFmtId="0" fontId="15" fillId="3" borderId="2" xfId="10" applyFont="1" applyFill="1" applyBorder="1"/>
    <xf numFmtId="0" fontId="15" fillId="3" borderId="3" xfId="10" applyFont="1" applyFill="1" applyBorder="1"/>
    <xf numFmtId="0" fontId="15" fillId="3" borderId="0" xfId="10" applyFont="1" applyFill="1"/>
    <xf numFmtId="0" fontId="15" fillId="3" borderId="20" xfId="10" applyFont="1" applyFill="1" applyBorder="1"/>
    <xf numFmtId="0" fontId="15" fillId="3" borderId="4" xfId="10" applyFont="1" applyFill="1" applyBorder="1"/>
    <xf numFmtId="49" fontId="15" fillId="3" borderId="0" xfId="10" applyNumberFormat="1" applyFont="1" applyFill="1"/>
    <xf numFmtId="0" fontId="9" fillId="3" borderId="4" xfId="10" quotePrefix="1" applyFont="1" applyFill="1" applyBorder="1"/>
    <xf numFmtId="0" fontId="9" fillId="3" borderId="0" xfId="10" applyFont="1" applyFill="1"/>
    <xf numFmtId="49" fontId="9" fillId="3" borderId="0" xfId="10" applyNumberFormat="1" applyFont="1" applyFill="1"/>
    <xf numFmtId="2" fontId="9" fillId="3" borderId="0" xfId="10" applyNumberFormat="1" applyFont="1" applyFill="1"/>
    <xf numFmtId="2" fontId="9" fillId="3" borderId="20" xfId="10" applyNumberFormat="1" applyFont="1" applyFill="1" applyBorder="1"/>
    <xf numFmtId="0" fontId="56" fillId="3" borderId="0" xfId="10" applyFont="1" applyFill="1"/>
    <xf numFmtId="0" fontId="55" fillId="9" borderId="4" xfId="7" applyFill="1" applyBorder="1">
      <alignment horizontal="left" vertical="center"/>
    </xf>
    <xf numFmtId="0" fontId="55" fillId="9" borderId="0" xfId="7" applyFill="1">
      <alignment horizontal="left" vertical="center"/>
    </xf>
    <xf numFmtId="0" fontId="55" fillId="9" borderId="20" xfId="7" applyFill="1" applyBorder="1">
      <alignment horizontal="left" vertical="center"/>
    </xf>
    <xf numFmtId="0" fontId="55" fillId="3" borderId="0" xfId="7" applyFill="1">
      <alignment horizontal="left" vertical="center"/>
    </xf>
    <xf numFmtId="0" fontId="55" fillId="6" borderId="4" xfId="7" applyFill="1" applyBorder="1">
      <alignment horizontal="left" vertical="center"/>
    </xf>
    <xf numFmtId="0" fontId="55" fillId="6" borderId="0" xfId="7" applyFill="1">
      <alignment horizontal="left" vertical="center"/>
    </xf>
    <xf numFmtId="0" fontId="55" fillId="6" borderId="20" xfId="7" applyFill="1" applyBorder="1">
      <alignment horizontal="left" vertical="center"/>
    </xf>
    <xf numFmtId="0" fontId="17" fillId="3" borderId="0" xfId="10" applyFont="1" applyFill="1"/>
    <xf numFmtId="0" fontId="57" fillId="3" borderId="4" xfId="10" applyFont="1" applyFill="1" applyBorder="1"/>
    <xf numFmtId="49" fontId="58" fillId="3" borderId="0" xfId="10" applyNumberFormat="1" applyFont="1" applyFill="1"/>
    <xf numFmtId="0" fontId="58" fillId="3" borderId="0" xfId="10" applyFont="1" applyFill="1"/>
    <xf numFmtId="2" fontId="58" fillId="3" borderId="0" xfId="10" applyNumberFormat="1" applyFont="1" applyFill="1"/>
    <xf numFmtId="0" fontId="15" fillId="3" borderId="7" xfId="10" applyFont="1" applyFill="1" applyBorder="1"/>
    <xf numFmtId="0" fontId="15" fillId="5" borderId="7" xfId="10" applyFont="1" applyFill="1" applyBorder="1"/>
    <xf numFmtId="0" fontId="15" fillId="2" borderId="7" xfId="10" applyFont="1" applyFill="1" applyBorder="1"/>
    <xf numFmtId="49" fontId="57" fillId="3" borderId="0" xfId="10" applyNumberFormat="1" applyFont="1" applyFill="1"/>
    <xf numFmtId="0" fontId="57" fillId="3" borderId="0" xfId="10" applyFont="1" applyFill="1"/>
    <xf numFmtId="0" fontId="20" fillId="3" borderId="7" xfId="10" applyFont="1" applyFill="1" applyBorder="1" applyAlignment="1">
      <alignment horizontal="center"/>
    </xf>
    <xf numFmtId="1" fontId="15" fillId="3" borderId="0" xfId="10" applyNumberFormat="1" applyFont="1" applyFill="1"/>
    <xf numFmtId="0" fontId="21" fillId="3" borderId="4" xfId="10" applyFont="1" applyFill="1" applyBorder="1"/>
    <xf numFmtId="0" fontId="20" fillId="3" borderId="0" xfId="10" applyFont="1" applyFill="1"/>
    <xf numFmtId="0" fontId="20" fillId="3" borderId="20" xfId="10" applyFont="1" applyFill="1" applyBorder="1"/>
    <xf numFmtId="166" fontId="15" fillId="3" borderId="7" xfId="10" applyNumberFormat="1" applyFont="1" applyFill="1" applyBorder="1"/>
    <xf numFmtId="1" fontId="15" fillId="3" borderId="7" xfId="10" applyNumberFormat="1" applyFont="1" applyFill="1" applyBorder="1"/>
    <xf numFmtId="0" fontId="59" fillId="3" borderId="0" xfId="10" applyFont="1" applyFill="1"/>
    <xf numFmtId="166" fontId="15" fillId="3" borderId="0" xfId="10" applyNumberFormat="1" applyFont="1" applyFill="1"/>
    <xf numFmtId="3" fontId="15" fillId="3" borderId="0" xfId="10" applyNumberFormat="1" applyFont="1" applyFill="1"/>
    <xf numFmtId="0" fontId="15" fillId="3" borderId="5" xfId="10" applyFont="1" applyFill="1" applyBorder="1"/>
    <xf numFmtId="0" fontId="15" fillId="3" borderId="6" xfId="10" applyFont="1" applyFill="1" applyBorder="1"/>
    <xf numFmtId="49" fontId="15" fillId="3" borderId="6" xfId="10" applyNumberFormat="1" applyFont="1" applyFill="1" applyBorder="1"/>
    <xf numFmtId="2" fontId="15" fillId="3" borderId="6" xfId="10" applyNumberFormat="1" applyFont="1" applyFill="1" applyBorder="1"/>
    <xf numFmtId="0" fontId="15" fillId="3" borderId="11" xfId="10" applyFont="1" applyFill="1" applyBorder="1"/>
    <xf numFmtId="1" fontId="64" fillId="3" borderId="0" xfId="10" applyNumberFormat="1" applyFont="1" applyFill="1"/>
    <xf numFmtId="165" fontId="0" fillId="5" borderId="7" xfId="0" applyNumberFormat="1" applyFill="1" applyBorder="1"/>
    <xf numFmtId="0" fontId="0" fillId="22" borderId="7" xfId="0" applyFill="1" applyBorder="1"/>
    <xf numFmtId="166" fontId="0" fillId="22" borderId="7" xfId="0" applyNumberFormat="1" applyFill="1" applyBorder="1"/>
    <xf numFmtId="0" fontId="68" fillId="15" borderId="4" xfId="11" applyFont="1" applyFill="1" applyBorder="1" applyProtection="1">
      <alignment horizontal="left" vertical="center"/>
      <protection locked="0"/>
    </xf>
    <xf numFmtId="0" fontId="46" fillId="3" borderId="0" xfId="11" applyFont="1" applyFill="1" applyAlignment="1" applyProtection="1">
      <alignment vertical="center"/>
      <protection hidden="1"/>
    </xf>
    <xf numFmtId="0" fontId="70" fillId="3" borderId="0" xfId="11" applyFont="1" applyFill="1" applyProtection="1">
      <alignment horizontal="left" vertical="center"/>
      <protection hidden="1"/>
    </xf>
    <xf numFmtId="0" fontId="71" fillId="3" borderId="0" xfId="11" applyFont="1" applyFill="1" applyProtection="1">
      <alignment horizontal="left" vertical="center"/>
      <protection hidden="1"/>
    </xf>
    <xf numFmtId="0" fontId="72" fillId="3" borderId="0" xfId="11" applyFont="1" applyFill="1" applyAlignment="1" applyProtection="1">
      <protection hidden="1"/>
    </xf>
    <xf numFmtId="0" fontId="71" fillId="3" borderId="0" xfId="11" applyFont="1" applyFill="1" applyAlignment="1" applyProtection="1">
      <alignment vertical="center"/>
      <protection hidden="1"/>
    </xf>
    <xf numFmtId="0" fontId="70" fillId="3" borderId="0" xfId="11" applyFont="1" applyFill="1" applyAlignment="1" applyProtection="1">
      <protection hidden="1"/>
    </xf>
    <xf numFmtId="0" fontId="70" fillId="3" borderId="0" xfId="11" applyFont="1" applyFill="1" applyAlignment="1" applyProtection="1">
      <alignment vertical="center"/>
      <protection hidden="1"/>
    </xf>
    <xf numFmtId="0" fontId="73" fillId="3" borderId="0" xfId="11" applyFont="1" applyFill="1" applyAlignment="1" applyProtection="1">
      <protection hidden="1"/>
    </xf>
    <xf numFmtId="0" fontId="1" fillId="6" borderId="28" xfId="0" applyFont="1" applyFill="1" applyBorder="1"/>
    <xf numFmtId="0" fontId="1" fillId="3" borderId="7" xfId="0" applyFont="1" applyFill="1" applyBorder="1" applyAlignment="1">
      <alignment horizontal="left"/>
    </xf>
    <xf numFmtId="44" fontId="62" fillId="3" borderId="7" xfId="1" applyFont="1" applyFill="1" applyBorder="1"/>
    <xf numFmtId="167" fontId="43" fillId="0" borderId="7" xfId="1" applyNumberFormat="1" applyFont="1" applyFill="1" applyBorder="1" applyProtection="1"/>
    <xf numFmtId="0" fontId="62" fillId="0" borderId="0" xfId="0" quotePrefix="1" applyFont="1"/>
    <xf numFmtId="0" fontId="1" fillId="3" borderId="57" xfId="0" applyFont="1" applyFill="1" applyBorder="1"/>
    <xf numFmtId="0" fontId="0" fillId="3" borderId="58" xfId="0" applyFill="1" applyBorder="1"/>
    <xf numFmtId="0" fontId="0" fillId="3" borderId="58" xfId="0" applyFill="1" applyBorder="1" applyAlignment="1">
      <alignment horizontal="center"/>
    </xf>
    <xf numFmtId="0" fontId="0" fillId="3" borderId="59" xfId="0" applyFill="1" applyBorder="1"/>
    <xf numFmtId="0" fontId="0" fillId="3" borderId="60" xfId="0" applyFill="1" applyBorder="1"/>
    <xf numFmtId="0" fontId="0" fillId="3" borderId="61" xfId="0" applyFill="1" applyBorder="1"/>
    <xf numFmtId="0" fontId="1" fillId="3" borderId="60" xfId="0" applyFont="1" applyFill="1" applyBorder="1"/>
    <xf numFmtId="0" fontId="0" fillId="3" borderId="63" xfId="0" applyFill="1" applyBorder="1"/>
    <xf numFmtId="0" fontId="0" fillId="3" borderId="64" xfId="0" applyFill="1" applyBorder="1"/>
    <xf numFmtId="0" fontId="0" fillId="3" borderId="64" xfId="0" applyFill="1" applyBorder="1" applyAlignment="1">
      <alignment horizontal="center"/>
    </xf>
    <xf numFmtId="0" fontId="0" fillId="3" borderId="65" xfId="0" applyFill="1" applyBorder="1"/>
    <xf numFmtId="0" fontId="1" fillId="4" borderId="7" xfId="0" applyFont="1" applyFill="1" applyBorder="1"/>
    <xf numFmtId="0" fontId="1" fillId="15" borderId="7" xfId="0" applyFont="1" applyFill="1" applyBorder="1"/>
    <xf numFmtId="0" fontId="1" fillId="6" borderId="66" xfId="0" applyFont="1" applyFill="1" applyBorder="1"/>
    <xf numFmtId="0" fontId="0" fillId="6" borderId="67" xfId="0" applyFill="1" applyBorder="1"/>
    <xf numFmtId="0" fontId="1" fillId="15" borderId="67" xfId="0" applyFont="1" applyFill="1" applyBorder="1"/>
    <xf numFmtId="0" fontId="0" fillId="15" borderId="67" xfId="0" applyFill="1" applyBorder="1"/>
    <xf numFmtId="0" fontId="1" fillId="6" borderId="62" xfId="0" applyFont="1" applyFill="1" applyBorder="1"/>
    <xf numFmtId="0" fontId="0" fillId="6" borderId="62" xfId="0" applyFill="1" applyBorder="1"/>
    <xf numFmtId="0" fontId="0" fillId="3" borderId="71" xfId="0" applyFill="1" applyBorder="1"/>
    <xf numFmtId="0" fontId="1" fillId="15" borderId="71" xfId="0" applyFont="1" applyFill="1" applyBorder="1"/>
    <xf numFmtId="0" fontId="0" fillId="15" borderId="71" xfId="0" applyFill="1" applyBorder="1"/>
    <xf numFmtId="0" fontId="1" fillId="6" borderId="67" xfId="0" applyFont="1" applyFill="1" applyBorder="1"/>
    <xf numFmtId="0" fontId="1" fillId="6" borderId="70" xfId="0" applyFont="1" applyFill="1" applyBorder="1"/>
    <xf numFmtId="0" fontId="1" fillId="6" borderId="71" xfId="0" applyFont="1" applyFill="1" applyBorder="1"/>
    <xf numFmtId="0" fontId="1" fillId="0" borderId="26" xfId="0" applyFont="1" applyBorder="1"/>
    <xf numFmtId="0" fontId="44" fillId="3" borderId="0" xfId="12" applyFont="1" applyFill="1">
      <alignment horizontal="left" vertical="center"/>
    </xf>
    <xf numFmtId="0" fontId="44" fillId="3" borderId="73" xfId="12" applyFont="1" applyFill="1" applyBorder="1">
      <alignment horizontal="left" vertical="center"/>
    </xf>
    <xf numFmtId="0" fontId="1" fillId="15" borderId="0" xfId="12" applyFont="1" applyFill="1">
      <alignment horizontal="left" vertical="center"/>
    </xf>
    <xf numFmtId="0" fontId="44" fillId="3" borderId="74" xfId="12" applyFont="1" applyFill="1" applyBorder="1">
      <alignment horizontal="left" vertical="center"/>
    </xf>
    <xf numFmtId="0" fontId="44" fillId="3" borderId="73" xfId="12" applyFont="1" applyFill="1" applyBorder="1" applyProtection="1">
      <alignment horizontal="left" vertical="center"/>
      <protection hidden="1"/>
    </xf>
    <xf numFmtId="0" fontId="26" fillId="24" borderId="7" xfId="0" applyFont="1" applyFill="1" applyBorder="1"/>
    <xf numFmtId="0" fontId="26" fillId="24" borderId="10" xfId="0" applyFont="1" applyFill="1" applyBorder="1"/>
    <xf numFmtId="0" fontId="8" fillId="3" borderId="10" xfId="0" applyFont="1" applyFill="1" applyBorder="1" applyAlignment="1">
      <alignment horizontal="left"/>
    </xf>
    <xf numFmtId="0" fontId="26" fillId="0" borderId="7" xfId="0" applyFont="1" applyBorder="1"/>
    <xf numFmtId="0" fontId="1" fillId="3" borderId="16" xfId="9" applyFill="1" applyBorder="1"/>
    <xf numFmtId="0" fontId="1" fillId="3" borderId="11" xfId="9" applyFill="1" applyBorder="1"/>
    <xf numFmtId="0" fontId="0" fillId="25" borderId="7" xfId="0" applyFill="1" applyBorder="1"/>
    <xf numFmtId="44" fontId="62" fillId="25" borderId="7" xfId="0" applyNumberFormat="1" applyFont="1" applyFill="1" applyBorder="1"/>
    <xf numFmtId="44" fontId="38" fillId="3" borderId="16" xfId="1" applyFont="1" applyFill="1" applyBorder="1"/>
    <xf numFmtId="44" fontId="38" fillId="3" borderId="11" xfId="1" applyFont="1" applyFill="1" applyBorder="1"/>
    <xf numFmtId="0" fontId="8" fillId="26" borderId="7" xfId="0" applyFont="1" applyFill="1" applyBorder="1"/>
    <xf numFmtId="0" fontId="0" fillId="26" borderId="7" xfId="0" applyFill="1" applyBorder="1"/>
    <xf numFmtId="1" fontId="15" fillId="0" borderId="7" xfId="10" applyNumberFormat="1" applyFont="1" applyBorder="1"/>
    <xf numFmtId="0" fontId="15" fillId="21" borderId="0" xfId="10" applyFont="1" applyFill="1"/>
    <xf numFmtId="173" fontId="0" fillId="0" borderId="0" xfId="0" applyNumberFormat="1"/>
    <xf numFmtId="173" fontId="1" fillId="0" borderId="0" xfId="0" applyNumberFormat="1" applyFont="1"/>
    <xf numFmtId="172" fontId="1" fillId="15" borderId="7" xfId="11" applyNumberFormat="1" applyFill="1" applyBorder="1" applyProtection="1">
      <alignment horizontal="left" vertical="center"/>
      <protection locked="0" hidden="1"/>
    </xf>
    <xf numFmtId="17" fontId="15" fillId="15" borderId="0" xfId="11" applyNumberFormat="1" applyFont="1" applyFill="1">
      <alignment horizontal="left" vertical="center"/>
    </xf>
    <xf numFmtId="44" fontId="15" fillId="15" borderId="0" xfId="11" applyNumberFormat="1" applyFont="1" applyFill="1">
      <alignment horizontal="left" vertical="center"/>
    </xf>
    <xf numFmtId="0" fontId="63" fillId="15" borderId="0" xfId="11" applyFont="1" applyFill="1" applyAlignment="1">
      <alignment horizontal="center" vertical="center"/>
    </xf>
    <xf numFmtId="0" fontId="1" fillId="3" borderId="0" xfId="8" applyFill="1" applyAlignment="1">
      <alignment horizontal="right"/>
    </xf>
    <xf numFmtId="0" fontId="1" fillId="3" borderId="20" xfId="8" applyFill="1" applyBorder="1" applyAlignment="1">
      <alignment horizontal="right"/>
    </xf>
    <xf numFmtId="0" fontId="1" fillId="6" borderId="15" xfId="8" applyFill="1" applyBorder="1" applyAlignment="1">
      <alignment horizontal="center"/>
    </xf>
    <xf numFmtId="0" fontId="1" fillId="6" borderId="44" xfId="8" applyFill="1" applyBorder="1" applyAlignment="1">
      <alignment horizontal="center"/>
    </xf>
    <xf numFmtId="0" fontId="1" fillId="6" borderId="16" xfId="8" applyFill="1" applyBorder="1" applyAlignment="1">
      <alignment horizontal="center"/>
    </xf>
    <xf numFmtId="39" fontId="5" fillId="3" borderId="7" xfId="8" applyNumberFormat="1" applyFont="1" applyFill="1" applyBorder="1" applyProtection="1">
      <protection locked="0"/>
    </xf>
    <xf numFmtId="0" fontId="34" fillId="3" borderId="0" xfId="11" applyFont="1" applyFill="1" applyAlignment="1"/>
    <xf numFmtId="0" fontId="14" fillId="15" borderId="0" xfId="11" applyFont="1" applyFill="1" applyAlignment="1"/>
    <xf numFmtId="0" fontId="69" fillId="15" borderId="0" xfId="11" applyFont="1" applyFill="1" applyAlignment="1">
      <alignment horizontal="center" vertical="center" wrapText="1"/>
    </xf>
    <xf numFmtId="2" fontId="3" fillId="15" borderId="7" xfId="11" applyNumberFormat="1" applyFont="1" applyFill="1" applyBorder="1" applyAlignment="1">
      <alignment horizontal="center" vertical="center"/>
    </xf>
    <xf numFmtId="0" fontId="15" fillId="15" borderId="1" xfId="11" applyFont="1" applyFill="1" applyBorder="1" applyAlignment="1">
      <alignment vertical="center"/>
    </xf>
    <xf numFmtId="0" fontId="15" fillId="15" borderId="2" xfId="11" applyFont="1" applyFill="1" applyBorder="1" applyAlignment="1">
      <alignment vertical="center"/>
    </xf>
    <xf numFmtId="0" fontId="15" fillId="15" borderId="3" xfId="11" applyFont="1" applyFill="1" applyBorder="1" applyAlignment="1">
      <alignment vertical="center"/>
    </xf>
    <xf numFmtId="0" fontId="8" fillId="15" borderId="5" xfId="11" applyFont="1" applyFill="1" applyBorder="1" applyAlignment="1">
      <alignment vertical="center"/>
    </xf>
    <xf numFmtId="0" fontId="8" fillId="15" borderId="6" xfId="11" applyFont="1" applyFill="1" applyBorder="1" applyAlignment="1">
      <alignment vertical="center"/>
    </xf>
    <xf numFmtId="0" fontId="8" fillId="15" borderId="11" xfId="11" applyFont="1" applyFill="1" applyBorder="1" applyAlignment="1">
      <alignment vertical="center"/>
    </xf>
    <xf numFmtId="0" fontId="1" fillId="15" borderId="4" xfId="11" applyFill="1" applyBorder="1" applyAlignment="1">
      <alignment vertical="center"/>
    </xf>
    <xf numFmtId="0" fontId="1" fillId="15" borderId="0" xfId="11" applyFill="1" applyAlignment="1">
      <alignment vertical="center"/>
    </xf>
    <xf numFmtId="0" fontId="1" fillId="15" borderId="20" xfId="11" applyFill="1" applyBorder="1" applyAlignment="1">
      <alignment vertical="center"/>
    </xf>
    <xf numFmtId="0" fontId="8" fillId="15" borderId="4" xfId="11" quotePrefix="1" applyFont="1" applyFill="1" applyBorder="1" applyAlignment="1">
      <alignment vertical="center"/>
    </xf>
    <xf numFmtId="0" fontId="1" fillId="15" borderId="0" xfId="11" quotePrefix="1" applyFill="1" applyAlignment="1">
      <alignment vertical="center"/>
    </xf>
    <xf numFmtId="0" fontId="1" fillId="15" borderId="20" xfId="11" quotePrefix="1" applyFill="1" applyBorder="1" applyAlignment="1">
      <alignment vertical="center"/>
    </xf>
    <xf numFmtId="0" fontId="68" fillId="15" borderId="4" xfId="11" applyFont="1" applyFill="1" applyBorder="1" applyAlignment="1">
      <alignment vertical="center"/>
    </xf>
    <xf numFmtId="0" fontId="68" fillId="15" borderId="0" xfId="11" quotePrefix="1" applyFont="1" applyFill="1" applyAlignment="1">
      <alignment vertical="center"/>
    </xf>
    <xf numFmtId="0" fontId="68" fillId="15" borderId="20" xfId="11" quotePrefix="1" applyFont="1" applyFill="1" applyBorder="1" applyAlignment="1">
      <alignment vertical="center"/>
    </xf>
    <xf numFmtId="0" fontId="15" fillId="15" borderId="4" xfId="11" applyFont="1" applyFill="1" applyBorder="1" applyAlignment="1">
      <alignment vertical="center"/>
    </xf>
    <xf numFmtId="0" fontId="15" fillId="15" borderId="0" xfId="11" applyFont="1" applyFill="1" applyAlignment="1">
      <alignment vertical="center"/>
    </xf>
    <xf numFmtId="0" fontId="15" fillId="15" borderId="20" xfId="11" applyFont="1" applyFill="1" applyBorder="1" applyAlignment="1">
      <alignment vertical="center"/>
    </xf>
    <xf numFmtId="0" fontId="8" fillId="15" borderId="4" xfId="11" applyFont="1" applyFill="1" applyBorder="1" applyAlignment="1">
      <alignment vertical="center"/>
    </xf>
    <xf numFmtId="0" fontId="8" fillId="15" borderId="0" xfId="11" applyFont="1" applyFill="1" applyAlignment="1">
      <alignment vertical="center"/>
    </xf>
    <xf numFmtId="0" fontId="8" fillId="15" borderId="20" xfId="11" applyFont="1" applyFill="1" applyBorder="1" applyAlignment="1">
      <alignment vertical="center"/>
    </xf>
    <xf numFmtId="0" fontId="67" fillId="20" borderId="15" xfId="11" applyFont="1" applyFill="1" applyBorder="1" applyAlignment="1">
      <alignment horizontal="center" vertical="center"/>
    </xf>
    <xf numFmtId="0" fontId="67" fillId="20" borderId="44" xfId="11" applyFont="1" applyFill="1" applyBorder="1" applyAlignment="1">
      <alignment horizontal="center" vertical="center"/>
    </xf>
    <xf numFmtId="0" fontId="67" fillId="20" borderId="16" xfId="11" applyFont="1" applyFill="1" applyBorder="1" applyAlignment="1">
      <alignment horizontal="center" vertical="center"/>
    </xf>
    <xf numFmtId="0" fontId="67" fillId="20" borderId="2" xfId="11" applyFont="1" applyFill="1" applyBorder="1" applyAlignment="1">
      <alignment horizontal="center" vertical="center"/>
    </xf>
    <xf numFmtId="0" fontId="5" fillId="15" borderId="0" xfId="11" applyFont="1" applyFill="1" applyAlignment="1">
      <alignment vertical="center"/>
    </xf>
    <xf numFmtId="0" fontId="15" fillId="6" borderId="15" xfId="11" applyFont="1" applyFill="1" applyBorder="1" applyAlignment="1">
      <alignment horizontal="center" vertical="center"/>
    </xf>
    <xf numFmtId="0" fontId="15" fillId="6" borderId="16" xfId="11" applyFont="1" applyFill="1" applyBorder="1" applyAlignment="1">
      <alignment horizontal="center" vertical="center"/>
    </xf>
    <xf numFmtId="0" fontId="20" fillId="6" borderId="7" xfId="11" applyFont="1" applyFill="1" applyBorder="1" applyAlignment="1">
      <alignment horizontal="center" vertical="center"/>
    </xf>
    <xf numFmtId="0" fontId="15" fillId="15" borderId="0" xfId="11" applyFont="1" applyFill="1" applyAlignment="1">
      <alignment horizontal="center" vertical="center" wrapText="1"/>
    </xf>
    <xf numFmtId="0" fontId="15" fillId="15" borderId="7" xfId="11" applyFont="1" applyFill="1" applyBorder="1" applyAlignment="1">
      <alignment horizontal="center" textRotation="90"/>
    </xf>
    <xf numFmtId="0" fontId="65" fillId="15" borderId="0" xfId="11" applyFont="1" applyFill="1" applyAlignment="1">
      <alignment vertical="center"/>
    </xf>
    <xf numFmtId="0" fontId="18" fillId="2" borderId="15" xfId="11" applyFont="1" applyFill="1" applyBorder="1" applyAlignment="1">
      <alignment horizontal="center" vertical="center"/>
    </xf>
    <xf numFmtId="0" fontId="18" fillId="2" borderId="16" xfId="11" applyFont="1" applyFill="1" applyBorder="1" applyAlignment="1">
      <alignment horizontal="center" vertical="center"/>
    </xf>
    <xf numFmtId="0" fontId="1" fillId="7" borderId="15" xfId="11" applyFill="1" applyBorder="1" applyAlignment="1">
      <alignment horizontal="center" vertical="center"/>
    </xf>
    <xf numFmtId="0" fontId="1" fillId="7" borderId="44" xfId="11" applyFill="1" applyBorder="1" applyAlignment="1">
      <alignment horizontal="center" vertical="center"/>
    </xf>
    <xf numFmtId="0" fontId="1" fillId="7" borderId="16" xfId="11" applyFill="1" applyBorder="1" applyAlignment="1">
      <alignment horizontal="center" vertical="center"/>
    </xf>
    <xf numFmtId="49" fontId="15" fillId="5" borderId="15" xfId="11" applyNumberFormat="1" applyFont="1" applyFill="1" applyBorder="1" applyAlignment="1" applyProtection="1">
      <alignment horizontal="center" vertical="center"/>
      <protection locked="0"/>
    </xf>
    <xf numFmtId="49" fontId="15" fillId="5" borderId="16" xfId="11" applyNumberFormat="1" applyFont="1" applyFill="1" applyBorder="1" applyAlignment="1" applyProtection="1">
      <alignment horizontal="center" vertical="center"/>
      <protection locked="0"/>
    </xf>
    <xf numFmtId="0" fontId="18" fillId="2" borderId="44" xfId="11" applyFont="1" applyFill="1" applyBorder="1" applyAlignment="1">
      <alignment horizontal="center" vertical="center"/>
    </xf>
    <xf numFmtId="0" fontId="1" fillId="7" borderId="7" xfId="11" applyFill="1" applyBorder="1" applyAlignment="1">
      <alignment horizontal="center" vertical="center"/>
    </xf>
    <xf numFmtId="0" fontId="15" fillId="3" borderId="15" xfId="11" applyFont="1" applyFill="1" applyBorder="1" applyAlignment="1">
      <alignment horizontal="center" vertical="center"/>
    </xf>
    <xf numFmtId="0" fontId="15" fillId="3" borderId="16" xfId="11" applyFont="1" applyFill="1" applyBorder="1" applyAlignment="1">
      <alignment horizontal="center" vertical="center"/>
    </xf>
    <xf numFmtId="0" fontId="14" fillId="15" borderId="0" xfId="12" applyFont="1" applyFill="1" applyAlignment="1"/>
    <xf numFmtId="0" fontId="15" fillId="5" borderId="15" xfId="12" applyFont="1" applyFill="1" applyBorder="1" applyProtection="1">
      <alignment horizontal="left" vertical="center"/>
      <protection locked="0"/>
    </xf>
    <xf numFmtId="0" fontId="15" fillId="5" borderId="16" xfId="12" applyFont="1" applyFill="1" applyBorder="1" applyProtection="1">
      <alignment horizontal="left" vertical="center"/>
      <protection locked="0"/>
    </xf>
    <xf numFmtId="0" fontId="63" fillId="15" borderId="0" xfId="12" applyFont="1" applyFill="1" applyAlignment="1">
      <alignment horizontal="center" vertical="center"/>
    </xf>
    <xf numFmtId="0" fontId="67" fillId="15" borderId="0" xfId="11" applyFont="1" applyFill="1" applyAlignment="1">
      <alignment vertical="center" wrapText="1"/>
    </xf>
    <xf numFmtId="0" fontId="14" fillId="15" borderId="0" xfId="11" applyFont="1" applyFill="1" applyAlignment="1">
      <alignment horizontal="left"/>
    </xf>
    <xf numFmtId="0" fontId="36" fillId="15" borderId="0" xfId="11" applyFont="1" applyFill="1" applyAlignment="1">
      <alignment horizontal="right" vertical="center"/>
    </xf>
    <xf numFmtId="49" fontId="15" fillId="15" borderId="1" xfId="11" applyNumberFormat="1" applyFont="1" applyFill="1" applyBorder="1" applyAlignment="1" applyProtection="1">
      <alignment vertical="top" wrapText="1"/>
      <protection locked="0"/>
    </xf>
    <xf numFmtId="49" fontId="15" fillId="15" borderId="2" xfId="11" applyNumberFormat="1" applyFont="1" applyFill="1" applyBorder="1" applyAlignment="1" applyProtection="1">
      <alignment vertical="top" wrapText="1"/>
      <protection locked="0"/>
    </xf>
    <xf numFmtId="49" fontId="15" fillId="15" borderId="3" xfId="11" applyNumberFormat="1" applyFont="1" applyFill="1" applyBorder="1" applyAlignment="1" applyProtection="1">
      <alignment vertical="top" wrapText="1"/>
      <protection locked="0"/>
    </xf>
    <xf numFmtId="49" fontId="15" fillId="15" borderId="4" xfId="11" applyNumberFormat="1" applyFont="1" applyFill="1" applyBorder="1" applyAlignment="1" applyProtection="1">
      <alignment vertical="top" wrapText="1"/>
      <protection locked="0"/>
    </xf>
    <xf numFmtId="49" fontId="15" fillId="15" borderId="0" xfId="11" applyNumberFormat="1" applyFont="1" applyFill="1" applyAlignment="1" applyProtection="1">
      <alignment vertical="top" wrapText="1"/>
      <protection locked="0"/>
    </xf>
    <xf numFmtId="49" fontId="15" fillId="15" borderId="20" xfId="11" applyNumberFormat="1" applyFont="1" applyFill="1" applyBorder="1" applyAlignment="1" applyProtection="1">
      <alignment vertical="top" wrapText="1"/>
      <protection locked="0"/>
    </xf>
    <xf numFmtId="49" fontId="15" fillId="15" borderId="5" xfId="11" applyNumberFormat="1" applyFont="1" applyFill="1" applyBorder="1" applyAlignment="1" applyProtection="1">
      <alignment vertical="top" wrapText="1"/>
      <protection locked="0"/>
    </xf>
    <xf numFmtId="49" fontId="15" fillId="15" borderId="6" xfId="11" applyNumberFormat="1" applyFont="1" applyFill="1" applyBorder="1" applyAlignment="1" applyProtection="1">
      <alignment vertical="top" wrapText="1"/>
      <protection locked="0"/>
    </xf>
    <xf numFmtId="49" fontId="15" fillId="15" borderId="11" xfId="11" applyNumberFormat="1" applyFont="1" applyFill="1" applyBorder="1" applyAlignment="1" applyProtection="1">
      <alignment vertical="top" wrapText="1"/>
      <protection locked="0"/>
    </xf>
    <xf numFmtId="0" fontId="1" fillId="15" borderId="2" xfId="11" applyFill="1" applyBorder="1" applyAlignment="1">
      <alignment vertical="center"/>
    </xf>
    <xf numFmtId="0" fontId="15" fillId="5" borderId="15" xfId="11" applyFont="1" applyFill="1" applyBorder="1" applyAlignment="1" applyProtection="1">
      <alignment vertical="center"/>
      <protection locked="0"/>
    </xf>
    <xf numFmtId="0" fontId="15" fillId="5" borderId="44" xfId="11" applyFont="1" applyFill="1" applyBorder="1" applyAlignment="1" applyProtection="1">
      <alignment vertical="center"/>
      <protection locked="0"/>
    </xf>
    <xf numFmtId="0" fontId="15" fillId="5" borderId="16" xfId="11" applyFont="1" applyFill="1" applyBorder="1" applyAlignment="1" applyProtection="1">
      <alignment vertical="center"/>
      <protection locked="0"/>
    </xf>
    <xf numFmtId="0" fontId="50" fillId="3" borderId="0" xfId="11" applyFont="1" applyFill="1" applyProtection="1">
      <alignment horizontal="left" vertical="center"/>
      <protection hidden="1"/>
    </xf>
    <xf numFmtId="0" fontId="45" fillId="3" borderId="0" xfId="11" applyFont="1" applyFill="1" applyAlignment="1" applyProtection="1">
      <alignment vertical="center"/>
      <protection hidden="1"/>
    </xf>
    <xf numFmtId="0" fontId="45" fillId="3" borderId="20" xfId="11" applyFont="1" applyFill="1" applyBorder="1" applyAlignment="1" applyProtection="1">
      <alignment vertical="center"/>
      <protection hidden="1"/>
    </xf>
    <xf numFmtId="0" fontId="45" fillId="3" borderId="5" xfId="11" applyFont="1" applyFill="1" applyBorder="1" applyAlignment="1" applyProtection="1">
      <alignment vertical="center"/>
      <protection hidden="1"/>
    </xf>
    <xf numFmtId="0" fontId="45" fillId="3" borderId="6" xfId="11" applyFont="1" applyFill="1" applyBorder="1" applyAlignment="1" applyProtection="1">
      <alignment vertical="center"/>
      <protection hidden="1"/>
    </xf>
    <xf numFmtId="0" fontId="45" fillId="3" borderId="11" xfId="11" applyFont="1" applyFill="1" applyBorder="1" applyAlignment="1" applyProtection="1">
      <alignment vertical="center"/>
      <protection hidden="1"/>
    </xf>
    <xf numFmtId="0" fontId="44" fillId="15" borderId="0" xfId="0" applyFont="1" applyFill="1" applyAlignment="1" applyProtection="1">
      <alignment vertical="top" wrapText="1"/>
      <protection hidden="1"/>
    </xf>
    <xf numFmtId="0" fontId="13" fillId="15" borderId="0" xfId="4" applyFill="1" applyBorder="1" applyAlignment="1" applyProtection="1">
      <alignment vertical="top" wrapText="1"/>
      <protection hidden="1"/>
    </xf>
    <xf numFmtId="0" fontId="45" fillId="3" borderId="4" xfId="11" applyFont="1" applyFill="1" applyBorder="1" applyAlignment="1" applyProtection="1">
      <alignment vertical="center"/>
      <protection hidden="1"/>
    </xf>
    <xf numFmtId="0" fontId="45" fillId="3" borderId="1" xfId="11" applyFont="1" applyFill="1" applyBorder="1" applyAlignment="1" applyProtection="1">
      <alignment vertical="center"/>
      <protection hidden="1"/>
    </xf>
    <xf numFmtId="0" fontId="45" fillId="3" borderId="2" xfId="11" applyFont="1" applyFill="1" applyBorder="1" applyAlignment="1" applyProtection="1">
      <alignment vertical="center"/>
      <protection hidden="1"/>
    </xf>
    <xf numFmtId="0" fontId="49" fillId="3" borderId="0" xfId="11" applyFont="1" applyFill="1" applyAlignment="1" applyProtection="1">
      <alignment vertical="center"/>
      <protection hidden="1"/>
    </xf>
    <xf numFmtId="0" fontId="45" fillId="3" borderId="3" xfId="11" applyFont="1" applyFill="1" applyBorder="1" applyAlignment="1" applyProtection="1">
      <alignment vertical="center"/>
      <protection hidden="1"/>
    </xf>
    <xf numFmtId="0" fontId="46" fillId="3" borderId="0" xfId="11" applyFont="1" applyFill="1" applyAlignment="1" applyProtection="1">
      <alignment vertical="center"/>
      <protection hidden="1"/>
    </xf>
    <xf numFmtId="0" fontId="74" fillId="3" borderId="0" xfId="11" applyFont="1" applyFill="1" applyAlignment="1" applyProtection="1">
      <alignment horizontal="left"/>
      <protection hidden="1"/>
    </xf>
    <xf numFmtId="170" fontId="45" fillId="3" borderId="0" xfId="11" applyNumberFormat="1" applyFont="1" applyFill="1" applyProtection="1">
      <alignment horizontal="left" vertical="center"/>
      <protection hidden="1"/>
    </xf>
    <xf numFmtId="0" fontId="44" fillId="3" borderId="0" xfId="11" applyFont="1" applyFill="1" applyProtection="1">
      <alignment horizontal="left" vertical="center"/>
      <protection hidden="1"/>
    </xf>
    <xf numFmtId="0" fontId="45" fillId="3" borderId="0" xfId="11" applyFont="1" applyFill="1" applyProtection="1">
      <alignment horizontal="left" vertical="center"/>
      <protection hidden="1"/>
    </xf>
    <xf numFmtId="0" fontId="45" fillId="3" borderId="2" xfId="11" applyFont="1" applyFill="1" applyBorder="1" applyProtection="1">
      <alignment horizontal="left" vertical="center"/>
      <protection hidden="1"/>
    </xf>
    <xf numFmtId="0" fontId="45" fillId="3" borderId="3" xfId="11" applyFont="1" applyFill="1" applyBorder="1" applyProtection="1">
      <alignment horizontal="left" vertical="center"/>
      <protection hidden="1"/>
    </xf>
    <xf numFmtId="0" fontId="51" fillId="3" borderId="0" xfId="11" applyFont="1" applyFill="1" applyAlignment="1" applyProtection="1">
      <alignment vertical="center"/>
      <protection hidden="1"/>
    </xf>
    <xf numFmtId="0" fontId="44" fillId="3" borderId="0" xfId="11" quotePrefix="1" applyFont="1" applyFill="1" applyAlignment="1" applyProtection="1">
      <alignment vertical="center"/>
      <protection hidden="1"/>
    </xf>
    <xf numFmtId="0" fontId="45" fillId="3" borderId="7" xfId="11" applyFont="1" applyFill="1" applyBorder="1" applyAlignment="1" applyProtection="1">
      <alignment horizontal="left" vertical="top" wrapText="1"/>
      <protection hidden="1"/>
    </xf>
    <xf numFmtId="0" fontId="60" fillId="3" borderId="0" xfId="11" applyFont="1" applyFill="1" applyProtection="1">
      <alignment horizontal="left" vertical="center"/>
      <protection hidden="1"/>
    </xf>
    <xf numFmtId="0" fontId="74" fillId="3" borderId="0" xfId="11" applyFont="1" applyFill="1" applyAlignment="1" applyProtection="1">
      <protection hidden="1"/>
    </xf>
    <xf numFmtId="0" fontId="50" fillId="3" borderId="0" xfId="11" applyFont="1" applyFill="1" applyAlignment="1" applyProtection="1">
      <alignment vertical="center"/>
      <protection hidden="1"/>
    </xf>
    <xf numFmtId="0" fontId="33" fillId="3" borderId="0" xfId="11" applyFont="1" applyFill="1" applyProtection="1">
      <alignment horizontal="left" vertical="center"/>
      <protection hidden="1"/>
    </xf>
    <xf numFmtId="0" fontId="48" fillId="3" borderId="6" xfId="11" applyFont="1" applyFill="1" applyBorder="1" applyAlignment="1" applyProtection="1">
      <alignment vertical="center"/>
      <protection hidden="1"/>
    </xf>
    <xf numFmtId="5" fontId="48" fillId="3" borderId="6" xfId="1" applyNumberFormat="1" applyFont="1" applyFill="1" applyBorder="1" applyAlignment="1" applyProtection="1">
      <alignment horizontal="right" vertical="center"/>
      <protection hidden="1"/>
    </xf>
    <xf numFmtId="0" fontId="20" fillId="3" borderId="15" xfId="10" applyFont="1" applyFill="1" applyBorder="1"/>
    <xf numFmtId="0" fontId="20" fillId="3" borderId="16" xfId="10" applyFont="1" applyFill="1" applyBorder="1"/>
    <xf numFmtId="170" fontId="40" fillId="3" borderId="4" xfId="10" applyNumberFormat="1" applyFont="1" applyFill="1" applyBorder="1"/>
    <xf numFmtId="170" fontId="40" fillId="3" borderId="0" xfId="10" applyNumberFormat="1" applyFont="1" applyFill="1"/>
    <xf numFmtId="0" fontId="40" fillId="3" borderId="0" xfId="13" applyFont="1" applyFill="1" applyAlignment="1">
      <alignment vertical="center"/>
    </xf>
    <xf numFmtId="0" fontId="15" fillId="2" borderId="8" xfId="10" applyFont="1" applyFill="1" applyBorder="1" applyAlignment="1">
      <alignment horizontal="left" vertical="center"/>
    </xf>
    <xf numFmtId="0" fontId="15" fillId="2" borderId="9" xfId="10" applyFont="1" applyFill="1" applyBorder="1" applyAlignment="1">
      <alignment horizontal="left" vertical="center"/>
    </xf>
    <xf numFmtId="0" fontId="15" fillId="2" borderId="10" xfId="10" applyFont="1" applyFill="1" applyBorder="1" applyAlignment="1">
      <alignment horizontal="left" vertical="center"/>
    </xf>
    <xf numFmtId="0" fontId="20" fillId="0" borderId="15" xfId="10" applyFont="1" applyBorder="1"/>
    <xf numFmtId="0" fontId="20" fillId="0" borderId="16" xfId="10" applyFont="1" applyBorder="1"/>
    <xf numFmtId="0" fontId="3" fillId="8" borderId="12" xfId="0" applyFont="1" applyFill="1" applyBorder="1" applyAlignment="1">
      <alignment horizontal="center" vertical="center" wrapText="1"/>
    </xf>
    <xf numFmtId="0" fontId="3" fillId="8" borderId="14" xfId="0" applyFont="1" applyFill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1" fontId="3" fillId="6" borderId="23" xfId="0" applyNumberFormat="1" applyFont="1" applyFill="1" applyBorder="1" applyAlignment="1">
      <alignment horizontal="center" vertical="top"/>
    </xf>
    <xf numFmtId="1" fontId="3" fillId="6" borderId="22" xfId="0" applyNumberFormat="1" applyFont="1" applyFill="1" applyBorder="1" applyAlignment="1">
      <alignment horizontal="center" vertical="top"/>
    </xf>
    <xf numFmtId="1" fontId="3" fillId="6" borderId="24" xfId="0" applyNumberFormat="1" applyFont="1" applyFill="1" applyBorder="1" applyAlignment="1">
      <alignment horizontal="center" vertical="top"/>
    </xf>
    <xf numFmtId="1" fontId="3" fillId="6" borderId="21" xfId="0" applyNumberFormat="1" applyFont="1" applyFill="1" applyBorder="1" applyAlignment="1">
      <alignment horizontal="center" vertical="top"/>
    </xf>
    <xf numFmtId="1" fontId="3" fillId="6" borderId="17" xfId="0" applyNumberFormat="1" applyFont="1" applyFill="1" applyBorder="1" applyAlignment="1">
      <alignment horizontal="center" vertical="top"/>
    </xf>
    <xf numFmtId="1" fontId="3" fillId="6" borderId="19" xfId="0" applyNumberFormat="1" applyFont="1" applyFill="1" applyBorder="1" applyAlignment="1">
      <alignment horizontal="center" vertical="top"/>
    </xf>
    <xf numFmtId="0" fontId="0" fillId="2" borderId="0" xfId="0" applyFill="1" applyAlignment="1">
      <alignment horizontal="right"/>
    </xf>
    <xf numFmtId="0" fontId="0" fillId="2" borderId="20" xfId="0" applyFill="1" applyBorder="1" applyAlignment="1">
      <alignment horizontal="right"/>
    </xf>
    <xf numFmtId="1" fontId="12" fillId="2" borderId="15" xfId="0" applyNumberFormat="1" applyFont="1" applyFill="1" applyBorder="1" applyAlignment="1" applyProtection="1">
      <alignment horizontal="center"/>
      <protection locked="0" hidden="1"/>
    </xf>
    <xf numFmtId="1" fontId="12" fillId="2" borderId="16" xfId="0" applyNumberFormat="1" applyFont="1" applyFill="1" applyBorder="1" applyAlignment="1" applyProtection="1">
      <alignment horizontal="center"/>
      <protection locked="0" hidden="1"/>
    </xf>
    <xf numFmtId="1" fontId="2" fillId="3" borderId="15" xfId="0" applyNumberFormat="1" applyFont="1" applyFill="1" applyBorder="1" applyAlignment="1" applyProtection="1">
      <alignment horizontal="center"/>
      <protection locked="0" hidden="1"/>
    </xf>
    <xf numFmtId="1" fontId="2" fillId="3" borderId="16" xfId="0" applyNumberFormat="1" applyFont="1" applyFill="1" applyBorder="1" applyAlignment="1" applyProtection="1">
      <alignment horizontal="center"/>
      <protection locked="0" hidden="1"/>
    </xf>
    <xf numFmtId="0" fontId="3" fillId="2" borderId="0" xfId="0" applyFont="1" applyFill="1"/>
    <xf numFmtId="0" fontId="1" fillId="3" borderId="71" xfId="0" applyFont="1" applyFill="1" applyBorder="1"/>
    <xf numFmtId="0" fontId="0" fillId="3" borderId="71" xfId="0" applyFill="1" applyBorder="1"/>
    <xf numFmtId="0" fontId="0" fillId="15" borderId="7" xfId="0" applyFill="1" applyBorder="1"/>
    <xf numFmtId="0" fontId="0" fillId="15" borderId="69" xfId="0" applyFill="1" applyBorder="1"/>
    <xf numFmtId="0" fontId="0" fillId="6" borderId="7" xfId="0" applyFill="1" applyBorder="1"/>
    <xf numFmtId="0" fontId="0" fillId="6" borderId="69" xfId="0" applyFill="1" applyBorder="1"/>
    <xf numFmtId="0" fontId="0" fillId="15" borderId="71" xfId="0" applyFill="1" applyBorder="1"/>
    <xf numFmtId="0" fontId="0" fillId="15" borderId="72" xfId="0" applyFill="1" applyBorder="1"/>
    <xf numFmtId="0" fontId="0" fillId="3" borderId="7" xfId="0" applyFill="1" applyBorder="1"/>
    <xf numFmtId="0" fontId="0" fillId="3" borderId="15" xfId="0" applyFill="1" applyBorder="1"/>
    <xf numFmtId="0" fontId="0" fillId="3" borderId="44" xfId="0" applyFill="1" applyBorder="1"/>
    <xf numFmtId="0" fontId="0" fillId="15" borderId="8" xfId="0" applyFill="1" applyBorder="1"/>
    <xf numFmtId="0" fontId="0" fillId="3" borderId="1" xfId="0" applyFill="1" applyBorder="1"/>
    <xf numFmtId="0" fontId="0" fillId="3" borderId="2" xfId="0" applyFill="1" applyBorder="1"/>
    <xf numFmtId="0" fontId="0" fillId="23" borderId="7" xfId="0" applyFill="1" applyBorder="1" applyAlignment="1">
      <alignment horizontal="center"/>
    </xf>
    <xf numFmtId="0" fontId="0" fillId="13" borderId="15" xfId="0" applyFill="1" applyBorder="1"/>
    <xf numFmtId="0" fontId="0" fillId="13" borderId="16" xfId="0" applyFill="1" applyBorder="1"/>
    <xf numFmtId="0" fontId="0" fillId="5" borderId="7" xfId="0" applyFill="1" applyBorder="1" applyAlignment="1">
      <alignment horizontal="center"/>
    </xf>
    <xf numFmtId="0" fontId="0" fillId="13" borderId="44" xfId="0" applyFill="1" applyBorder="1"/>
    <xf numFmtId="0" fontId="0" fillId="13" borderId="7" xfId="0" applyFill="1" applyBorder="1"/>
    <xf numFmtId="0" fontId="0" fillId="6" borderId="8" xfId="0" applyFill="1" applyBorder="1"/>
    <xf numFmtId="0" fontId="0" fillId="3" borderId="67" xfId="0" applyFill="1" applyBorder="1"/>
    <xf numFmtId="0" fontId="0" fillId="6" borderId="67" xfId="0" applyFill="1" applyBorder="1"/>
    <xf numFmtId="0" fontId="0" fillId="6" borderId="68" xfId="0" applyFill="1" applyBorder="1"/>
    <xf numFmtId="0" fontId="21" fillId="3" borderId="26" xfId="8" applyFont="1" applyFill="1" applyBorder="1"/>
    <xf numFmtId="0" fontId="30" fillId="15" borderId="0" xfId="8" applyFont="1" applyFill="1"/>
    <xf numFmtId="0" fontId="21" fillId="3" borderId="0" xfId="8" applyFont="1" applyFill="1"/>
    <xf numFmtId="0" fontId="30" fillId="3" borderId="0" xfId="8" applyFont="1" applyFill="1"/>
    <xf numFmtId="0" fontId="32" fillId="10" borderId="8" xfId="8" applyFont="1" applyFill="1" applyBorder="1" applyAlignment="1">
      <alignment horizontal="center" wrapText="1"/>
    </xf>
    <xf numFmtId="0" fontId="32" fillId="10" borderId="10" xfId="8" applyFont="1" applyFill="1" applyBorder="1" applyAlignment="1">
      <alignment horizontal="center" wrapText="1"/>
    </xf>
    <xf numFmtId="0" fontId="30" fillId="3" borderId="23" xfId="8" applyFont="1" applyFill="1" applyBorder="1"/>
    <xf numFmtId="0" fontId="30" fillId="3" borderId="17" xfId="8" applyFont="1" applyFill="1" applyBorder="1"/>
    <xf numFmtId="0" fontId="12" fillId="10" borderId="15" xfId="0" applyFont="1" applyFill="1" applyBorder="1" applyAlignment="1">
      <alignment horizontal="center"/>
    </xf>
    <xf numFmtId="0" fontId="12" fillId="10" borderId="16" xfId="0" applyFont="1" applyFill="1" applyBorder="1" applyAlignment="1">
      <alignment horizontal="center"/>
    </xf>
    <xf numFmtId="0" fontId="12" fillId="10" borderId="4" xfId="0" applyFont="1" applyFill="1" applyBorder="1" applyAlignment="1">
      <alignment horizontal="left" wrapText="1"/>
    </xf>
    <xf numFmtId="0" fontId="12" fillId="10" borderId="0" xfId="0" applyFont="1" applyFill="1" applyAlignment="1">
      <alignment horizontal="left" wrapText="1"/>
    </xf>
    <xf numFmtId="0" fontId="12" fillId="10" borderId="20" xfId="0" applyFont="1" applyFill="1" applyBorder="1" applyAlignment="1">
      <alignment horizontal="left" wrapText="1"/>
    </xf>
    <xf numFmtId="0" fontId="12" fillId="10" borderId="51" xfId="0" applyFont="1" applyFill="1" applyBorder="1" applyAlignment="1">
      <alignment horizontal="center"/>
    </xf>
    <xf numFmtId="0" fontId="21" fillId="3" borderId="52" xfId="8" applyFont="1" applyFill="1" applyBorder="1"/>
    <xf numFmtId="0" fontId="30" fillId="3" borderId="6" xfId="8" applyFont="1" applyFill="1" applyBorder="1"/>
    <xf numFmtId="0" fontId="29" fillId="3" borderId="0" xfId="8" applyFont="1" applyFill="1"/>
    <xf numFmtId="0" fontId="43" fillId="3" borderId="15" xfId="11" applyFont="1" applyFill="1" applyBorder="1" applyAlignment="1">
      <alignment vertical="center"/>
    </xf>
    <xf numFmtId="0" fontId="43" fillId="3" borderId="44" xfId="11" applyFont="1" applyFill="1" applyBorder="1" applyAlignment="1">
      <alignment vertical="center"/>
    </xf>
    <xf numFmtId="0" fontId="43" fillId="3" borderId="16" xfId="11" applyFont="1" applyFill="1" applyBorder="1" applyAlignment="1">
      <alignment vertical="center"/>
    </xf>
    <xf numFmtId="0" fontId="42" fillId="3" borderId="0" xfId="8" applyFont="1" applyFill="1" applyAlignment="1">
      <alignment horizontal="right"/>
    </xf>
    <xf numFmtId="0" fontId="8" fillId="12" borderId="7" xfId="8" applyFont="1" applyFill="1" applyBorder="1" applyAlignment="1">
      <alignment horizontal="center"/>
    </xf>
    <xf numFmtId="0" fontId="1" fillId="12" borderId="7" xfId="8" applyFill="1" applyBorder="1" applyAlignment="1">
      <alignment horizontal="center"/>
    </xf>
    <xf numFmtId="0" fontId="8" fillId="3" borderId="7" xfId="8" applyFont="1" applyFill="1" applyBorder="1" applyAlignment="1">
      <alignment horizontal="left"/>
    </xf>
    <xf numFmtId="0" fontId="1" fillId="3" borderId="7" xfId="8" applyFill="1" applyBorder="1"/>
    <xf numFmtId="0" fontId="1" fillId="3" borderId="7" xfId="8" applyFill="1" applyBorder="1" applyAlignment="1">
      <alignment horizontal="left"/>
    </xf>
    <xf numFmtId="0" fontId="1" fillId="16" borderId="7" xfId="8" applyFill="1" applyBorder="1"/>
    <xf numFmtId="9" fontId="3" fillId="16" borderId="8" xfId="14" applyFont="1" applyFill="1" applyBorder="1" applyAlignment="1">
      <alignment horizontal="center" vertical="center"/>
    </xf>
    <xf numFmtId="9" fontId="3" fillId="16" borderId="10" xfId="14" applyFont="1" applyFill="1" applyBorder="1" applyAlignment="1">
      <alignment horizontal="center" vertical="center"/>
    </xf>
    <xf numFmtId="0" fontId="8" fillId="3" borderId="7" xfId="8" applyFont="1" applyFill="1" applyBorder="1" applyAlignment="1">
      <alignment horizontal="center" vertical="center" wrapText="1"/>
    </xf>
    <xf numFmtId="0" fontId="1" fillId="3" borderId="7" xfId="8" applyFill="1" applyBorder="1" applyAlignment="1">
      <alignment horizontal="center" vertical="center" wrapText="1"/>
    </xf>
    <xf numFmtId="0" fontId="41" fillId="3" borderId="0" xfId="8" applyFont="1" applyFill="1"/>
    <xf numFmtId="0" fontId="39" fillId="3" borderId="0" xfId="0" applyFont="1" applyFill="1" applyAlignment="1">
      <alignment horizontal="left"/>
    </xf>
    <xf numFmtId="0" fontId="8" fillId="3" borderId="4" xfId="0" applyFont="1" applyFill="1" applyBorder="1"/>
    <xf numFmtId="0" fontId="0" fillId="15" borderId="0" xfId="0" applyFill="1"/>
    <xf numFmtId="0" fontId="0" fillId="15" borderId="18" xfId="0" applyFill="1" applyBorder="1"/>
    <xf numFmtId="0" fontId="0" fillId="7" borderId="25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3" borderId="17" xfId="0" applyFill="1" applyBorder="1"/>
    <xf numFmtId="0" fontId="0" fillId="3" borderId="22" xfId="0" applyFill="1" applyBorder="1"/>
    <xf numFmtId="0" fontId="0" fillId="4" borderId="0" xfId="0" applyFill="1"/>
    <xf numFmtId="0" fontId="0" fillId="4" borderId="20" xfId="0" applyFill="1" applyBorder="1"/>
    <xf numFmtId="0" fontId="0" fillId="5" borderId="7" xfId="0" applyFill="1" applyBorder="1"/>
    <xf numFmtId="0" fontId="0" fillId="4" borderId="7" xfId="1" applyNumberFormat="1" applyFont="1" applyFill="1" applyBorder="1" applyAlignment="1"/>
    <xf numFmtId="0" fontId="0" fillId="5" borderId="53" xfId="0" applyFill="1" applyBorder="1" applyAlignment="1">
      <alignment horizontal="center" wrapText="1"/>
    </xf>
    <xf numFmtId="0" fontId="0" fillId="5" borderId="33" xfId="0" applyFill="1" applyBorder="1" applyAlignment="1">
      <alignment horizontal="center" wrapText="1"/>
    </xf>
    <xf numFmtId="0" fontId="0" fillId="5" borderId="34" xfId="0" applyFill="1" applyBorder="1" applyAlignment="1">
      <alignment horizontal="center" wrapText="1"/>
    </xf>
    <xf numFmtId="0" fontId="0" fillId="5" borderId="16" xfId="0" applyFill="1" applyBorder="1" applyAlignment="1">
      <alignment horizontal="center" wrapText="1"/>
    </xf>
    <xf numFmtId="0" fontId="0" fillId="5" borderId="7" xfId="0" applyFill="1" applyBorder="1" applyAlignment="1">
      <alignment horizontal="center" wrapText="1"/>
    </xf>
    <xf numFmtId="0" fontId="0" fillId="5" borderId="27" xfId="0" applyFill="1" applyBorder="1" applyAlignment="1">
      <alignment horizontal="center" wrapText="1"/>
    </xf>
    <xf numFmtId="0" fontId="8" fillId="15" borderId="0" xfId="0" applyFont="1" applyFill="1"/>
    <xf numFmtId="0" fontId="0" fillId="4" borderId="7" xfId="0" applyFill="1" applyBorder="1"/>
    <xf numFmtId="0" fontId="0" fillId="7" borderId="49" xfId="0" applyFill="1" applyBorder="1" applyAlignment="1">
      <alignment horizontal="center"/>
    </xf>
    <xf numFmtId="0" fontId="0" fillId="7" borderId="53" xfId="0" applyFill="1" applyBorder="1" applyAlignment="1">
      <alignment horizontal="center"/>
    </xf>
    <xf numFmtId="0" fontId="0" fillId="7" borderId="54" xfId="0" applyFill="1" applyBorder="1" applyAlignment="1">
      <alignment horizontal="center"/>
    </xf>
    <xf numFmtId="0" fontId="0" fillId="7" borderId="55" xfId="0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9" fillId="3" borderId="15" xfId="0" applyFont="1" applyFill="1" applyBorder="1"/>
    <xf numFmtId="0" fontId="9" fillId="3" borderId="44" xfId="0" applyFont="1" applyFill="1" applyBorder="1"/>
    <xf numFmtId="0" fontId="9" fillId="3" borderId="16" xfId="0" applyFont="1" applyFill="1" applyBorder="1"/>
    <xf numFmtId="0" fontId="18" fillId="3" borderId="0" xfId="0" applyFont="1" applyFill="1"/>
    <xf numFmtId="0" fontId="9" fillId="3" borderId="0" xfId="0" applyFont="1" applyFill="1"/>
    <xf numFmtId="0" fontId="9" fillId="3" borderId="7" xfId="0" applyFont="1" applyFill="1" applyBorder="1" applyAlignment="1">
      <alignment horizontal="left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9" fillId="3" borderId="7" xfId="0" applyFont="1" applyFill="1" applyBorder="1"/>
    <xf numFmtId="0" fontId="8" fillId="15" borderId="7" xfId="0" applyFont="1" applyFill="1" applyBorder="1"/>
    <xf numFmtId="0" fontId="8" fillId="3" borderId="0" xfId="8" applyFont="1" applyFill="1" applyAlignment="1">
      <alignment horizontal="right"/>
    </xf>
    <xf numFmtId="0" fontId="1" fillId="3" borderId="0" xfId="8" applyFill="1" applyAlignment="1">
      <alignment horizontal="right"/>
    </xf>
    <xf numFmtId="0" fontId="1" fillId="3" borderId="20" xfId="8" applyFill="1" applyBorder="1" applyAlignment="1">
      <alignment horizontal="right"/>
    </xf>
    <xf numFmtId="0" fontId="1" fillId="3" borderId="1" xfId="8" applyFill="1" applyBorder="1" applyAlignment="1">
      <alignment horizontal="right"/>
    </xf>
    <xf numFmtId="0" fontId="1" fillId="3" borderId="3" xfId="8" applyFill="1" applyBorder="1" applyAlignment="1">
      <alignment horizontal="right"/>
    </xf>
    <xf numFmtId="9" fontId="3" fillId="12" borderId="8" xfId="14" applyFont="1" applyFill="1" applyBorder="1" applyAlignment="1">
      <alignment horizontal="center" vertical="center"/>
    </xf>
    <xf numFmtId="9" fontId="3" fillId="12" borderId="10" xfId="14" applyFont="1" applyFill="1" applyBorder="1" applyAlignment="1">
      <alignment horizontal="center" vertical="center"/>
    </xf>
    <xf numFmtId="0" fontId="0" fillId="5" borderId="7" xfId="0" quotePrefix="1" applyFill="1" applyBorder="1"/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5" borderId="15" xfId="0" quotePrefix="1" applyFill="1" applyBorder="1"/>
    <xf numFmtId="0" fontId="0" fillId="5" borderId="16" xfId="0" quotePrefix="1" applyFill="1" applyBorder="1"/>
    <xf numFmtId="0" fontId="0" fillId="3" borderId="16" xfId="0" applyFill="1" applyBorder="1"/>
    <xf numFmtId="0" fontId="0" fillId="3" borderId="3" xfId="0" applyFill="1" applyBorder="1"/>
    <xf numFmtId="0" fontId="0" fillId="6" borderId="15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8" fillId="0" borderId="7" xfId="0" applyFont="1" applyBorder="1"/>
    <xf numFmtId="0" fontId="0" fillId="0" borderId="7" xfId="0" applyBorder="1"/>
    <xf numFmtId="0" fontId="43" fillId="3" borderId="0" xfId="8" applyFont="1" applyFill="1"/>
  </cellXfs>
  <cellStyles count="15">
    <cellStyle name="Currency" xfId="1" builtinId="4"/>
    <cellStyle name="Currency 2" xfId="2" xr:uid="{00000000-0005-0000-0000-000001000000}"/>
    <cellStyle name="Currency 3" xfId="3" xr:uid="{00000000-0005-0000-0000-000002000000}"/>
    <cellStyle name="Hyperlink" xfId="4" builtinId="8"/>
    <cellStyle name="Normal" xfId="0" builtinId="0"/>
    <cellStyle name="Normal 2" xfId="5" xr:uid="{00000000-0005-0000-0000-000005000000}"/>
    <cellStyle name="Normal_GUF-P 2000 AC" xfId="6" xr:uid="{00000000-0005-0000-0000-000006000000}"/>
    <cellStyle name="Normal_GUF-P 2000 AC 2" xfId="7" xr:uid="{00000000-0005-0000-0000-000007000000}"/>
    <cellStyle name="Normal_GUF-P 2000 Frames" xfId="8" xr:uid="{00000000-0005-0000-0000-000008000000}"/>
    <cellStyle name="Normal_Parts List Template A" xfId="9" xr:uid="{00000000-0005-0000-0000-000009000000}"/>
    <cellStyle name="Normal_Parts List Template A 2" xfId="10" xr:uid="{00000000-0005-0000-0000-00000A000000}"/>
    <cellStyle name="Normal_ZRF-P 2010 AC" xfId="11" xr:uid="{00000000-0005-0000-0000-00000B000000}"/>
    <cellStyle name="Normal_ZRF-P 2010 AC 2" xfId="12" xr:uid="{00000000-0005-0000-0000-00000C000000}"/>
    <cellStyle name="Normal_ZRF-P 2010 AC 3" xfId="13" xr:uid="{00000000-0005-0000-0000-00000D000000}"/>
    <cellStyle name="Percent" xfId="14" builtinId="5"/>
  </cellStyles>
  <dxfs count="48">
    <dxf>
      <font>
        <b/>
        <i val="0"/>
        <condense val="0"/>
        <extend val="0"/>
        <color auto="1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auto="1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ill>
        <patternFill patternType="solid">
          <bgColor indexed="43"/>
        </patternFill>
      </fill>
    </dxf>
    <dxf>
      <fill>
        <patternFill patternType="none">
          <bgColor indexed="65"/>
        </patternFill>
      </fill>
    </dxf>
    <dxf>
      <fill>
        <patternFill>
          <bgColor theme="0"/>
        </patternFill>
      </fill>
      <border>
        <left/>
        <right/>
        <top/>
        <bottom/>
      </border>
    </dxf>
    <dxf>
      <fill>
        <patternFill patternType="solid">
          <bgColor indexed="43"/>
        </patternFill>
      </fill>
    </dxf>
    <dxf>
      <fill>
        <patternFill patternType="none">
          <bgColor indexed="65"/>
        </patternFill>
      </fill>
    </dxf>
    <dxf>
      <fill>
        <patternFill>
          <bgColor indexed="42"/>
        </patternFill>
      </fill>
    </dxf>
    <dxf>
      <font>
        <color rgb="FFFF0000"/>
      </font>
    </dxf>
    <dxf>
      <font>
        <condense val="0"/>
        <extend val="0"/>
        <color indexed="9"/>
      </font>
    </dxf>
    <dxf>
      <font>
        <color auto="1"/>
      </font>
    </dxf>
    <dxf>
      <font>
        <color auto="1"/>
      </font>
    </dxf>
    <dxf>
      <font>
        <color auto="1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border>
        <left/>
        <right/>
        <top/>
        <bottom/>
      </border>
    </dxf>
    <dxf>
      <font>
        <color auto="1"/>
      </font>
    </dxf>
    <dxf>
      <fill>
        <patternFill>
          <bgColor rgb="FFFF0000"/>
        </patternFill>
      </fill>
    </dxf>
    <dxf>
      <font>
        <condense val="0"/>
        <extend val="0"/>
        <color indexed="10"/>
      </font>
      <fill>
        <patternFill>
          <bgColor indexed="9"/>
        </patternFill>
      </fill>
      <border>
        <left/>
        <right/>
        <top/>
        <bottom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 patternType="solid">
          <bgColor indexed="9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1"/>
      </font>
      <fill>
        <patternFill>
          <bgColor indexed="11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43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auto="1"/>
      </font>
      <fill>
        <patternFill>
          <bgColor rgb="FFFFFF99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auto="1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u val="none"/>
        <color indexed="10"/>
      </font>
    </dxf>
    <dxf>
      <font>
        <b/>
        <i val="0"/>
        <condense val="0"/>
        <extend val="0"/>
        <u val="none"/>
        <color indexed="10"/>
      </font>
    </dxf>
    <dxf>
      <font>
        <b/>
        <i val="0"/>
        <strike val="0"/>
        <color rgb="FFFF0000"/>
      </font>
    </dxf>
    <dxf>
      <fill>
        <patternFill>
          <bgColor theme="0" tint="-0.2499465926084170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u/>
        <color indexed="1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6.png"/><Relationship Id="rId1" Type="http://schemas.openxmlformats.org/officeDocument/2006/relationships/hyperlink" Target="#Help_0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jpeg"/><Relationship Id="rId2" Type="http://schemas.openxmlformats.org/officeDocument/2006/relationships/image" Target="../media/image14.jpeg"/><Relationship Id="rId1" Type="http://schemas.openxmlformats.org/officeDocument/2006/relationships/image" Target="../media/image13.jpeg"/><Relationship Id="rId5" Type="http://schemas.openxmlformats.org/officeDocument/2006/relationships/image" Target="../media/image3.jpeg"/><Relationship Id="rId4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jpeg"/><Relationship Id="rId2" Type="http://schemas.openxmlformats.org/officeDocument/2006/relationships/image" Target="../media/image20.jpeg"/><Relationship Id="rId1" Type="http://schemas.openxmlformats.org/officeDocument/2006/relationships/image" Target="../media/image19.jpeg"/><Relationship Id="rId6" Type="http://schemas.openxmlformats.org/officeDocument/2006/relationships/image" Target="../media/image3.jpeg"/><Relationship Id="rId5" Type="http://schemas.openxmlformats.org/officeDocument/2006/relationships/image" Target="../media/image23.png"/><Relationship Id="rId4" Type="http://schemas.openxmlformats.org/officeDocument/2006/relationships/image" Target="../media/image22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7.jpeg"/><Relationship Id="rId1" Type="http://schemas.openxmlformats.org/officeDocument/2006/relationships/image" Target="../media/image26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30.jpeg"/><Relationship Id="rId1" Type="http://schemas.openxmlformats.org/officeDocument/2006/relationships/image" Target="../media/image29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jpeg"/><Relationship Id="rId2" Type="http://schemas.openxmlformats.org/officeDocument/2006/relationships/image" Target="../media/image33.jpeg"/><Relationship Id="rId1" Type="http://schemas.openxmlformats.org/officeDocument/2006/relationships/image" Target="../media/image32.jpeg"/><Relationship Id="rId4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37.jpeg"/><Relationship Id="rId1" Type="http://schemas.openxmlformats.org/officeDocument/2006/relationships/image" Target="../media/image36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42.jpeg"/><Relationship Id="rId1" Type="http://schemas.openxmlformats.org/officeDocument/2006/relationships/image" Target="../media/image4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26</xdr:row>
          <xdr:rowOff>85725</xdr:rowOff>
        </xdr:from>
        <xdr:to>
          <xdr:col>11</xdr:col>
          <xdr:colOff>838200</xdr:colOff>
          <xdr:row>28</xdr:row>
          <xdr:rowOff>38100</xdr:rowOff>
        </xdr:to>
        <xdr:sp macro="" textlink="">
          <xdr:nvSpPr>
            <xdr:cNvPr id="18440" name="Accept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0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942975</xdr:colOff>
          <xdr:row>26</xdr:row>
          <xdr:rowOff>85725</xdr:rowOff>
        </xdr:from>
        <xdr:to>
          <xdr:col>12</xdr:col>
          <xdr:colOff>9525</xdr:colOff>
          <xdr:row>28</xdr:row>
          <xdr:rowOff>38100</xdr:rowOff>
        </xdr:to>
        <xdr:sp macro="" textlink="">
          <xdr:nvSpPr>
            <xdr:cNvPr id="18441" name="Reject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0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123825</xdr:colOff>
      <xdr:row>1</xdr:row>
      <xdr:rowOff>123825</xdr:rowOff>
    </xdr:from>
    <xdr:to>
      <xdr:col>6</xdr:col>
      <xdr:colOff>142875</xdr:colOff>
      <xdr:row>4</xdr:row>
      <xdr:rowOff>0</xdr:rowOff>
    </xdr:to>
    <xdr:pic>
      <xdr:nvPicPr>
        <xdr:cNvPr id="5" name="Picture 7" descr="cid:image010.jpg@01D368EB.32C76D1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304800"/>
          <a:ext cx="177165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381000</xdr:colOff>
      <xdr:row>20</xdr:row>
      <xdr:rowOff>180975</xdr:rowOff>
    </xdr:from>
    <xdr:to>
      <xdr:col>5</xdr:col>
      <xdr:colOff>638175</xdr:colOff>
      <xdr:row>23</xdr:row>
      <xdr:rowOff>38100</xdr:rowOff>
    </xdr:to>
    <xdr:pic>
      <xdr:nvPicPr>
        <xdr:cNvPr id="321751" name="Picture 1708" descr="C:\Users\ktietje\AppData\Local\Microsoft\Windows\Temporary Internet Files\Content.IE5\SY6O5HNT\MC900431512[1]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D7E8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695825" y="3619500"/>
          <a:ext cx="25717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</xdr:row>
          <xdr:rowOff>66675</xdr:rowOff>
        </xdr:from>
        <xdr:to>
          <xdr:col>8</xdr:col>
          <xdr:colOff>400050</xdr:colOff>
          <xdr:row>3</xdr:row>
          <xdr:rowOff>57150</xdr:rowOff>
        </xdr:to>
        <xdr:sp macro="" textlink="">
          <xdr:nvSpPr>
            <xdr:cNvPr id="5131" name="CommandButton02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</xdr:row>
          <xdr:rowOff>66675</xdr:rowOff>
        </xdr:from>
        <xdr:to>
          <xdr:col>9</xdr:col>
          <xdr:colOff>171450</xdr:colOff>
          <xdr:row>3</xdr:row>
          <xdr:rowOff>57150</xdr:rowOff>
        </xdr:to>
        <xdr:sp macro="" textlink="">
          <xdr:nvSpPr>
            <xdr:cNvPr id="5132" name="CommandButton03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47625</xdr:colOff>
      <xdr:row>1</xdr:row>
      <xdr:rowOff>47625</xdr:rowOff>
    </xdr:from>
    <xdr:to>
      <xdr:col>2</xdr:col>
      <xdr:colOff>1543050</xdr:colOff>
      <xdr:row>3</xdr:row>
      <xdr:rowOff>114300</xdr:rowOff>
    </xdr:to>
    <xdr:pic>
      <xdr:nvPicPr>
        <xdr:cNvPr id="7" name="Picture 7" descr="cid:image010.jpg@01D368EB.32C76D10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209550"/>
          <a:ext cx="177165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</xdr:row>
      <xdr:rowOff>142875</xdr:rowOff>
    </xdr:from>
    <xdr:to>
      <xdr:col>6</xdr:col>
      <xdr:colOff>123825</xdr:colOff>
      <xdr:row>23</xdr:row>
      <xdr:rowOff>161925</xdr:rowOff>
    </xdr:to>
    <xdr:pic>
      <xdr:nvPicPr>
        <xdr:cNvPr id="322870" name="Picture 6" descr="GUF-P 2000 AC BODINE 3D.jpg">
          <a:extLst>
            <a:ext uri="{FF2B5EF4-FFF2-40B4-BE49-F238E27FC236}">
              <a16:creationId xmlns:a16="http://schemas.microsoft.com/office/drawing/2014/main" id="{00000000-0008-0000-0200-000036ED0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4158" t="11522" r="26627" b="33043"/>
        <a:stretch>
          <a:fillRect/>
        </a:stretch>
      </xdr:blipFill>
      <xdr:spPr bwMode="auto">
        <a:xfrm>
          <a:off x="695325" y="2038350"/>
          <a:ext cx="3695700" cy="2305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219075</xdr:colOff>
      <xdr:row>11</xdr:row>
      <xdr:rowOff>152400</xdr:rowOff>
    </xdr:from>
    <xdr:to>
      <xdr:col>12</xdr:col>
      <xdr:colOff>514350</xdr:colOff>
      <xdr:row>25</xdr:row>
      <xdr:rowOff>190500</xdr:rowOff>
    </xdr:to>
    <xdr:pic>
      <xdr:nvPicPr>
        <xdr:cNvPr id="322871" name="Picture 7" descr="GUF-P 2000 BC BODINE 3D.jpg">
          <a:extLst>
            <a:ext uri="{FF2B5EF4-FFF2-40B4-BE49-F238E27FC236}">
              <a16:creationId xmlns:a16="http://schemas.microsoft.com/office/drawing/2014/main" id="{00000000-0008-0000-0200-000037ED0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27530" t="11630" r="27530" b="25978"/>
        <a:stretch>
          <a:fillRect/>
        </a:stretch>
      </xdr:blipFill>
      <xdr:spPr bwMode="auto">
        <a:xfrm>
          <a:off x="4486275" y="2047875"/>
          <a:ext cx="3600450" cy="277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790575</xdr:colOff>
          <xdr:row>2</xdr:row>
          <xdr:rowOff>0</xdr:rowOff>
        </xdr:from>
        <xdr:to>
          <xdr:col>12</xdr:col>
          <xdr:colOff>476250</xdr:colOff>
          <xdr:row>3</xdr:row>
          <xdr:rowOff>152400</xdr:rowOff>
        </xdr:to>
        <xdr:sp macro="" textlink="">
          <xdr:nvSpPr>
            <xdr:cNvPr id="2084" name="CommandButton11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2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</xdr:row>
          <xdr:rowOff>0</xdr:rowOff>
        </xdr:from>
        <xdr:to>
          <xdr:col>10</xdr:col>
          <xdr:colOff>723900</xdr:colOff>
          <xdr:row>3</xdr:row>
          <xdr:rowOff>152400</xdr:rowOff>
        </xdr:to>
        <xdr:sp macro="" textlink="">
          <xdr:nvSpPr>
            <xdr:cNvPr id="2103" name="CommandButton12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2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1</xdr:row>
      <xdr:rowOff>47625</xdr:rowOff>
    </xdr:from>
    <xdr:to>
      <xdr:col>2</xdr:col>
      <xdr:colOff>1019175</xdr:colOff>
      <xdr:row>3</xdr:row>
      <xdr:rowOff>161925</xdr:rowOff>
    </xdr:to>
    <xdr:pic>
      <xdr:nvPicPr>
        <xdr:cNvPr id="7" name="Picture 7" descr="cid:image010.jpg@01D368EB.32C76D10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209550"/>
          <a:ext cx="177165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9</xdr:row>
      <xdr:rowOff>180975</xdr:rowOff>
    </xdr:from>
    <xdr:to>
      <xdr:col>10</xdr:col>
      <xdr:colOff>1876425</xdr:colOff>
      <xdr:row>17</xdr:row>
      <xdr:rowOff>76200</xdr:rowOff>
    </xdr:to>
    <xdr:pic>
      <xdr:nvPicPr>
        <xdr:cNvPr id="317029" name="Picture 11" descr="GUF-P 2000 AM BODINE 3D.jpg">
          <a:extLst>
            <a:ext uri="{FF2B5EF4-FFF2-40B4-BE49-F238E27FC236}">
              <a16:creationId xmlns:a16="http://schemas.microsoft.com/office/drawing/2014/main" id="{00000000-0008-0000-0300-000065D60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2047" t="35979" r="31326" b="21848"/>
        <a:stretch>
          <a:fillRect/>
        </a:stretch>
      </xdr:blipFill>
      <xdr:spPr bwMode="auto">
        <a:xfrm>
          <a:off x="5305425" y="1666875"/>
          <a:ext cx="2924175" cy="1466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0</xdr:colOff>
      <xdr:row>17</xdr:row>
      <xdr:rowOff>171450</xdr:rowOff>
    </xdr:from>
    <xdr:to>
      <xdr:col>10</xdr:col>
      <xdr:colOff>1876425</xdr:colOff>
      <xdr:row>27</xdr:row>
      <xdr:rowOff>47625</xdr:rowOff>
    </xdr:to>
    <xdr:pic>
      <xdr:nvPicPr>
        <xdr:cNvPr id="317030" name="Picture 12" descr="GUF-P 2000 AU BODINE 3D.jpg">
          <a:extLst>
            <a:ext uri="{FF2B5EF4-FFF2-40B4-BE49-F238E27FC236}">
              <a16:creationId xmlns:a16="http://schemas.microsoft.com/office/drawing/2014/main" id="{00000000-0008-0000-0300-000066D60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20000" t="31197" r="41687" b="26521"/>
        <a:stretch>
          <a:fillRect/>
        </a:stretch>
      </xdr:blipFill>
      <xdr:spPr bwMode="auto">
        <a:xfrm>
          <a:off x="5305425" y="3228975"/>
          <a:ext cx="2924175" cy="1790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733425</xdr:colOff>
      <xdr:row>10</xdr:row>
      <xdr:rowOff>0</xdr:rowOff>
    </xdr:from>
    <xdr:to>
      <xdr:col>3</xdr:col>
      <xdr:colOff>76200</xdr:colOff>
      <xdr:row>23</xdr:row>
      <xdr:rowOff>142875</xdr:rowOff>
    </xdr:to>
    <xdr:pic>
      <xdr:nvPicPr>
        <xdr:cNvPr id="317031" name="Picture 13" descr="GUF-P 2000 AC BODINE 3D.jpg">
          <a:extLst>
            <a:ext uri="{FF2B5EF4-FFF2-40B4-BE49-F238E27FC236}">
              <a16:creationId xmlns:a16="http://schemas.microsoft.com/office/drawing/2014/main" id="{00000000-0008-0000-0300-000067D60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 l="22289" t="37283" r="45245" b="4674"/>
        <a:stretch>
          <a:fillRect/>
        </a:stretch>
      </xdr:blipFill>
      <xdr:spPr bwMode="auto">
        <a:xfrm>
          <a:off x="733425" y="1676400"/>
          <a:ext cx="2695575" cy="2667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733425</xdr:colOff>
      <xdr:row>24</xdr:row>
      <xdr:rowOff>57150</xdr:rowOff>
    </xdr:from>
    <xdr:to>
      <xdr:col>3</xdr:col>
      <xdr:colOff>76200</xdr:colOff>
      <xdr:row>36</xdr:row>
      <xdr:rowOff>152400</xdr:rowOff>
    </xdr:to>
    <xdr:pic>
      <xdr:nvPicPr>
        <xdr:cNvPr id="317033" name="Picture 5" descr="GUF-P 2000 AC BODINE ABOVE.jpg">
          <a:extLst>
            <a:ext uri="{FF2B5EF4-FFF2-40B4-BE49-F238E27FC236}">
              <a16:creationId xmlns:a16="http://schemas.microsoft.com/office/drawing/2014/main" id="{00000000-0008-0000-0300-000069D60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rcRect l="18600" t="18262" r="38615" b="12500"/>
        <a:stretch>
          <a:fillRect/>
        </a:stretch>
      </xdr:blipFill>
      <xdr:spPr bwMode="auto">
        <a:xfrm>
          <a:off x="733425" y="4448175"/>
          <a:ext cx="2695575" cy="2400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1171575</xdr:colOff>
          <xdr:row>1</xdr:row>
          <xdr:rowOff>133350</xdr:rowOff>
        </xdr:from>
        <xdr:to>
          <xdr:col>10</xdr:col>
          <xdr:colOff>1866900</xdr:colOff>
          <xdr:row>3</xdr:row>
          <xdr:rowOff>123825</xdr:rowOff>
        </xdr:to>
        <xdr:sp macro="" textlink="">
          <xdr:nvSpPr>
            <xdr:cNvPr id="3096" name="CommandButton21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3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1</xdr:row>
          <xdr:rowOff>133350</xdr:rowOff>
        </xdr:from>
        <xdr:to>
          <xdr:col>10</xdr:col>
          <xdr:colOff>1066800</xdr:colOff>
          <xdr:row>3</xdr:row>
          <xdr:rowOff>123825</xdr:rowOff>
        </xdr:to>
        <xdr:sp macro="" textlink="">
          <xdr:nvSpPr>
            <xdr:cNvPr id="3111" name="CommandButton1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3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9525</xdr:colOff>
      <xdr:row>1</xdr:row>
      <xdr:rowOff>85725</xdr:rowOff>
    </xdr:from>
    <xdr:to>
      <xdr:col>2</xdr:col>
      <xdr:colOff>1000125</xdr:colOff>
      <xdr:row>3</xdr:row>
      <xdr:rowOff>152400</xdr:rowOff>
    </xdr:to>
    <xdr:pic>
      <xdr:nvPicPr>
        <xdr:cNvPr id="9" name="Picture 7" descr="cid:image010.jpg@01D368EB.32C76D10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475" y="247650"/>
          <a:ext cx="177165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733425</xdr:colOff>
      <xdr:row>29</xdr:row>
      <xdr:rowOff>76200</xdr:rowOff>
    </xdr:from>
    <xdr:to>
      <xdr:col>8</xdr:col>
      <xdr:colOff>371475</xdr:colOff>
      <xdr:row>33</xdr:row>
      <xdr:rowOff>123825</xdr:rowOff>
    </xdr:to>
    <xdr:pic>
      <xdr:nvPicPr>
        <xdr:cNvPr id="324203" name="Picture 190" descr="32u0-u0">
          <a:extLst>
            <a:ext uri="{FF2B5EF4-FFF2-40B4-BE49-F238E27FC236}">
              <a16:creationId xmlns:a16="http://schemas.microsoft.com/office/drawing/2014/main" id="{00000000-0008-0000-0400-00006BF2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419600" y="5267325"/>
          <a:ext cx="1304925" cy="695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409575</xdr:colOff>
      <xdr:row>29</xdr:row>
      <xdr:rowOff>76200</xdr:rowOff>
    </xdr:from>
    <xdr:to>
      <xdr:col>11</xdr:col>
      <xdr:colOff>180975</xdr:colOff>
      <xdr:row>33</xdr:row>
      <xdr:rowOff>123825</xdr:rowOff>
    </xdr:to>
    <xdr:pic>
      <xdr:nvPicPr>
        <xdr:cNvPr id="324204" name="Picture 191" descr="u0-v20">
          <a:extLst>
            <a:ext uri="{FF2B5EF4-FFF2-40B4-BE49-F238E27FC236}">
              <a16:creationId xmlns:a16="http://schemas.microsoft.com/office/drawing/2014/main" id="{00000000-0008-0000-0400-00006CF2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762625" y="5267325"/>
          <a:ext cx="1304925" cy="695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352425</xdr:colOff>
      <xdr:row>29</xdr:row>
      <xdr:rowOff>66675</xdr:rowOff>
    </xdr:from>
    <xdr:to>
      <xdr:col>5</xdr:col>
      <xdr:colOff>276225</xdr:colOff>
      <xdr:row>33</xdr:row>
      <xdr:rowOff>114300</xdr:rowOff>
    </xdr:to>
    <xdr:pic>
      <xdr:nvPicPr>
        <xdr:cNvPr id="324206" name="Picture 189" descr="25-hc">
          <a:extLst>
            <a:ext uri="{FF2B5EF4-FFF2-40B4-BE49-F238E27FC236}">
              <a16:creationId xmlns:a16="http://schemas.microsoft.com/office/drawing/2014/main" id="{00000000-0008-0000-0400-00006EF2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733550" y="5257800"/>
          <a:ext cx="1295400" cy="695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9525</xdr:colOff>
      <xdr:row>29</xdr:row>
      <xdr:rowOff>66675</xdr:rowOff>
    </xdr:from>
    <xdr:to>
      <xdr:col>3</xdr:col>
      <xdr:colOff>304800</xdr:colOff>
      <xdr:row>33</xdr:row>
      <xdr:rowOff>114300</xdr:rowOff>
    </xdr:to>
    <xdr:pic>
      <xdr:nvPicPr>
        <xdr:cNvPr id="324207" name="Picture 192" descr="u0-v5h">
          <a:extLst>
            <a:ext uri="{FF2B5EF4-FFF2-40B4-BE49-F238E27FC236}">
              <a16:creationId xmlns:a16="http://schemas.microsoft.com/office/drawing/2014/main" id="{00000000-0008-0000-0400-00006FF2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81000" y="5257800"/>
          <a:ext cx="1304925" cy="695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314325</xdr:colOff>
      <xdr:row>29</xdr:row>
      <xdr:rowOff>66675</xdr:rowOff>
    </xdr:from>
    <xdr:to>
      <xdr:col>6</xdr:col>
      <xdr:colOff>685800</xdr:colOff>
      <xdr:row>33</xdr:row>
      <xdr:rowOff>114300</xdr:rowOff>
    </xdr:to>
    <xdr:pic>
      <xdr:nvPicPr>
        <xdr:cNvPr id="324208" name="Picture 203" descr="32u0-u2">
          <a:extLst>
            <a:ext uri="{FF2B5EF4-FFF2-40B4-BE49-F238E27FC236}">
              <a16:creationId xmlns:a16="http://schemas.microsoft.com/office/drawing/2014/main" id="{00000000-0008-0000-0400-000070F2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067050" y="5257800"/>
          <a:ext cx="1304925" cy="695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333375</xdr:colOff>
          <xdr:row>1</xdr:row>
          <xdr:rowOff>104775</xdr:rowOff>
        </xdr:from>
        <xdr:to>
          <xdr:col>11</xdr:col>
          <xdr:colOff>1028700</xdr:colOff>
          <xdr:row>3</xdr:row>
          <xdr:rowOff>95250</xdr:rowOff>
        </xdr:to>
        <xdr:sp macro="" textlink="">
          <xdr:nvSpPr>
            <xdr:cNvPr id="8194" name="CommandButton6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485775</xdr:colOff>
          <xdr:row>1</xdr:row>
          <xdr:rowOff>114300</xdr:rowOff>
        </xdr:from>
        <xdr:to>
          <xdr:col>11</xdr:col>
          <xdr:colOff>228600</xdr:colOff>
          <xdr:row>3</xdr:row>
          <xdr:rowOff>104775</xdr:rowOff>
        </xdr:to>
        <xdr:sp macro="" textlink="">
          <xdr:nvSpPr>
            <xdr:cNvPr id="8343" name="CommandButton64" hidden="1">
              <a:extLst>
                <a:ext uri="{63B3BB69-23CF-44E3-9099-C40C66FF867C}">
                  <a14:compatExt spid="_x0000_s8343"/>
                </a:ext>
                <a:ext uri="{FF2B5EF4-FFF2-40B4-BE49-F238E27FC236}">
                  <a16:creationId xmlns:a16="http://schemas.microsoft.com/office/drawing/2014/main" id="{00000000-0008-0000-0400-00009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20053</xdr:colOff>
      <xdr:row>1</xdr:row>
      <xdr:rowOff>70185</xdr:rowOff>
    </xdr:from>
    <xdr:to>
      <xdr:col>4</xdr:col>
      <xdr:colOff>337888</xdr:colOff>
      <xdr:row>3</xdr:row>
      <xdr:rowOff>139868</xdr:rowOff>
    </xdr:to>
    <xdr:pic>
      <xdr:nvPicPr>
        <xdr:cNvPr id="10" name="Picture 7" descr="cid:image010.jpg@01D368EB.32C76D10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1027" y="230606"/>
          <a:ext cx="177165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457200</xdr:colOff>
      <xdr:row>10</xdr:row>
      <xdr:rowOff>19050</xdr:rowOff>
    </xdr:from>
    <xdr:to>
      <xdr:col>12</xdr:col>
      <xdr:colOff>57150</xdr:colOff>
      <xdr:row>24</xdr:row>
      <xdr:rowOff>57150</xdr:rowOff>
    </xdr:to>
    <xdr:pic>
      <xdr:nvPicPr>
        <xdr:cNvPr id="336899" name="Picture 5" descr="SF7.1.jpg">
          <a:extLst>
            <a:ext uri="{FF2B5EF4-FFF2-40B4-BE49-F238E27FC236}">
              <a16:creationId xmlns:a16="http://schemas.microsoft.com/office/drawing/2014/main" id="{00000000-0008-0000-0500-000003240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12010" t="21716" r="37564" b="11189"/>
        <a:stretch>
          <a:fillRect/>
        </a:stretch>
      </xdr:blipFill>
      <xdr:spPr bwMode="auto">
        <a:xfrm>
          <a:off x="4410075" y="1695450"/>
          <a:ext cx="3733800" cy="2705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0</xdr:col>
      <xdr:colOff>523875</xdr:colOff>
      <xdr:row>10</xdr:row>
      <xdr:rowOff>0</xdr:rowOff>
    </xdr:from>
    <xdr:to>
      <xdr:col>7</xdr:col>
      <xdr:colOff>304800</xdr:colOff>
      <xdr:row>24</xdr:row>
      <xdr:rowOff>47625</xdr:rowOff>
    </xdr:to>
    <xdr:pic>
      <xdr:nvPicPr>
        <xdr:cNvPr id="336900" name="Picture 6" descr="SF1.3.jpg">
          <a:extLst>
            <a:ext uri="{FF2B5EF4-FFF2-40B4-BE49-F238E27FC236}">
              <a16:creationId xmlns:a16="http://schemas.microsoft.com/office/drawing/2014/main" id="{00000000-0008-0000-0500-000004240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r="29918" b="8064"/>
        <a:stretch>
          <a:fillRect/>
        </a:stretch>
      </xdr:blipFill>
      <xdr:spPr bwMode="auto">
        <a:xfrm>
          <a:off x="523875" y="1676400"/>
          <a:ext cx="3733800" cy="2714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2</xdr:row>
          <xdr:rowOff>9525</xdr:rowOff>
        </xdr:from>
        <xdr:to>
          <xdr:col>11</xdr:col>
          <xdr:colOff>381000</xdr:colOff>
          <xdr:row>4</xdr:row>
          <xdr:rowOff>0</xdr:rowOff>
        </xdr:to>
        <xdr:sp macro="" textlink="">
          <xdr:nvSpPr>
            <xdr:cNvPr id="300033" name="CommandButton71" hidden="1">
              <a:extLst>
                <a:ext uri="{63B3BB69-23CF-44E3-9099-C40C66FF867C}">
                  <a14:compatExt spid="_x0000_s300033"/>
                </a:ext>
                <a:ext uri="{FF2B5EF4-FFF2-40B4-BE49-F238E27FC236}">
                  <a16:creationId xmlns:a16="http://schemas.microsoft.com/office/drawing/2014/main" id="{00000000-0008-0000-0500-000001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2</xdr:row>
          <xdr:rowOff>19050</xdr:rowOff>
        </xdr:from>
        <xdr:to>
          <xdr:col>10</xdr:col>
          <xdr:colOff>447675</xdr:colOff>
          <xdr:row>4</xdr:row>
          <xdr:rowOff>9525</xdr:rowOff>
        </xdr:to>
        <xdr:sp macro="" textlink="">
          <xdr:nvSpPr>
            <xdr:cNvPr id="300034" name="CommandButton72" hidden="1">
              <a:extLst>
                <a:ext uri="{63B3BB69-23CF-44E3-9099-C40C66FF867C}">
                  <a14:compatExt spid="_x0000_s300034"/>
                </a:ext>
                <a:ext uri="{FF2B5EF4-FFF2-40B4-BE49-F238E27FC236}">
                  <a16:creationId xmlns:a16="http://schemas.microsoft.com/office/drawing/2014/main" id="{00000000-0008-0000-0500-000002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57150</xdr:colOff>
      <xdr:row>1</xdr:row>
      <xdr:rowOff>85725</xdr:rowOff>
    </xdr:from>
    <xdr:to>
      <xdr:col>3</xdr:col>
      <xdr:colOff>28575</xdr:colOff>
      <xdr:row>3</xdr:row>
      <xdr:rowOff>152400</xdr:rowOff>
    </xdr:to>
    <xdr:pic>
      <xdr:nvPicPr>
        <xdr:cNvPr id="7" name="Picture 7" descr="cid:image010.jpg@01D368EB.32C76D10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247650"/>
          <a:ext cx="177165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8</xdr:row>
      <xdr:rowOff>28575</xdr:rowOff>
    </xdr:from>
    <xdr:to>
      <xdr:col>3</xdr:col>
      <xdr:colOff>762000</xdr:colOff>
      <xdr:row>21</xdr:row>
      <xdr:rowOff>104775</xdr:rowOff>
    </xdr:to>
    <xdr:pic>
      <xdr:nvPicPr>
        <xdr:cNvPr id="324918" name="Picture 5" descr="SFchina.jpg">
          <a:extLst>
            <a:ext uri="{FF2B5EF4-FFF2-40B4-BE49-F238E27FC236}">
              <a16:creationId xmlns:a16="http://schemas.microsoft.com/office/drawing/2014/main" id="{00000000-0008-0000-0600-000036F50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15482" t="14240" r="22289" b="4349"/>
        <a:stretch>
          <a:fillRect/>
        </a:stretch>
      </xdr:blipFill>
      <xdr:spPr bwMode="auto">
        <a:xfrm>
          <a:off x="704850" y="1323975"/>
          <a:ext cx="3514725" cy="2552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981075</xdr:colOff>
      <xdr:row>8</xdr:row>
      <xdr:rowOff>38100</xdr:rowOff>
    </xdr:from>
    <xdr:to>
      <xdr:col>12</xdr:col>
      <xdr:colOff>238125</xdr:colOff>
      <xdr:row>26</xdr:row>
      <xdr:rowOff>28575</xdr:rowOff>
    </xdr:to>
    <xdr:pic>
      <xdr:nvPicPr>
        <xdr:cNvPr id="324919" name="Picture 6" descr="SFchina 2D.jpg">
          <a:extLst>
            <a:ext uri="{FF2B5EF4-FFF2-40B4-BE49-F238E27FC236}">
              <a16:creationId xmlns:a16="http://schemas.microsoft.com/office/drawing/2014/main" id="{00000000-0008-0000-0600-000037F50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12048" t="12608" r="30241" b="23695"/>
        <a:stretch>
          <a:fillRect/>
        </a:stretch>
      </xdr:blipFill>
      <xdr:spPr bwMode="auto">
        <a:xfrm>
          <a:off x="4438650" y="1333500"/>
          <a:ext cx="5543550" cy="33909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2</xdr:row>
          <xdr:rowOff>0</xdr:rowOff>
        </xdr:from>
        <xdr:to>
          <xdr:col>11</xdr:col>
          <xdr:colOff>514350</xdr:colOff>
          <xdr:row>3</xdr:row>
          <xdr:rowOff>152400</xdr:rowOff>
        </xdr:to>
        <xdr:sp macro="" textlink="">
          <xdr:nvSpPr>
            <xdr:cNvPr id="24578" name="CommandButtonHelpR01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6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19050</xdr:colOff>
      <xdr:row>1</xdr:row>
      <xdr:rowOff>76200</xdr:rowOff>
    </xdr:from>
    <xdr:to>
      <xdr:col>1</xdr:col>
      <xdr:colOff>1790700</xdr:colOff>
      <xdr:row>3</xdr:row>
      <xdr:rowOff>142875</xdr:rowOff>
    </xdr:to>
    <xdr:pic>
      <xdr:nvPicPr>
        <xdr:cNvPr id="6" name="Picture 7" descr="cid:image010.jpg@01D368EB.32C76D10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238125"/>
          <a:ext cx="177165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7</xdr:row>
      <xdr:rowOff>104775</xdr:rowOff>
    </xdr:from>
    <xdr:to>
      <xdr:col>1</xdr:col>
      <xdr:colOff>1666875</xdr:colOff>
      <xdr:row>27</xdr:row>
      <xdr:rowOff>114300</xdr:rowOff>
    </xdr:to>
    <xdr:pic>
      <xdr:nvPicPr>
        <xdr:cNvPr id="326048" name="Picture 43" descr="stand 55">
          <a:extLst>
            <a:ext uri="{FF2B5EF4-FFF2-40B4-BE49-F238E27FC236}">
              <a16:creationId xmlns:a16="http://schemas.microsoft.com/office/drawing/2014/main" id="{00000000-0008-0000-0700-0000A0F9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40633" t="7083" r="38724" b="10782"/>
        <a:stretch>
          <a:fillRect/>
        </a:stretch>
      </xdr:blipFill>
      <xdr:spPr bwMode="auto">
        <a:xfrm>
          <a:off x="752475" y="1238250"/>
          <a:ext cx="1628775" cy="3619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276225</xdr:colOff>
      <xdr:row>20</xdr:row>
      <xdr:rowOff>152400</xdr:rowOff>
    </xdr:from>
    <xdr:to>
      <xdr:col>11</xdr:col>
      <xdr:colOff>466725</xdr:colOff>
      <xdr:row>32</xdr:row>
      <xdr:rowOff>114300</xdr:rowOff>
    </xdr:to>
    <xdr:pic>
      <xdr:nvPicPr>
        <xdr:cNvPr id="326049" name="Picture 4" descr="Support Bracket.jpg">
          <a:extLst>
            <a:ext uri="{FF2B5EF4-FFF2-40B4-BE49-F238E27FC236}">
              <a16:creationId xmlns:a16="http://schemas.microsoft.com/office/drawing/2014/main" id="{00000000-0008-0000-0700-0000A1F90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20663" t="25652" r="47771" b="26086"/>
        <a:stretch>
          <a:fillRect/>
        </a:stretch>
      </xdr:blipFill>
      <xdr:spPr bwMode="auto">
        <a:xfrm>
          <a:off x="5924550" y="3562350"/>
          <a:ext cx="2647950" cy="22479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  <xdr:twoCellAnchor editAs="oneCell">
    <xdr:from>
      <xdr:col>2</xdr:col>
      <xdr:colOff>28575</xdr:colOff>
      <xdr:row>21</xdr:row>
      <xdr:rowOff>19050</xdr:rowOff>
    </xdr:from>
    <xdr:to>
      <xdr:col>6</xdr:col>
      <xdr:colOff>95250</xdr:colOff>
      <xdr:row>32</xdr:row>
      <xdr:rowOff>114300</xdr:rowOff>
    </xdr:to>
    <xdr:pic>
      <xdr:nvPicPr>
        <xdr:cNvPr id="326050" name="Picture 6" descr="Page 84 Casters.jpg">
          <a:extLst>
            <a:ext uri="{FF2B5EF4-FFF2-40B4-BE49-F238E27FC236}">
              <a16:creationId xmlns:a16="http://schemas.microsoft.com/office/drawing/2014/main" id="{00000000-0008-0000-0700-0000A2F90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 l="20782" t="34023" r="49217" b="28804"/>
        <a:stretch>
          <a:fillRect/>
        </a:stretch>
      </xdr:blipFill>
      <xdr:spPr bwMode="auto">
        <a:xfrm>
          <a:off x="2552700" y="3619500"/>
          <a:ext cx="3190875" cy="2190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1</xdr:row>
          <xdr:rowOff>95250</xdr:rowOff>
        </xdr:from>
        <xdr:to>
          <xdr:col>10</xdr:col>
          <xdr:colOff>542925</xdr:colOff>
          <xdr:row>3</xdr:row>
          <xdr:rowOff>85725</xdr:rowOff>
        </xdr:to>
        <xdr:sp macro="" textlink="">
          <xdr:nvSpPr>
            <xdr:cNvPr id="23555" name="CommandButtonHelpS01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7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66675</xdr:colOff>
      <xdr:row>1</xdr:row>
      <xdr:rowOff>76200</xdr:rowOff>
    </xdr:from>
    <xdr:to>
      <xdr:col>2</xdr:col>
      <xdr:colOff>28575</xdr:colOff>
      <xdr:row>3</xdr:row>
      <xdr:rowOff>142875</xdr:rowOff>
    </xdr:to>
    <xdr:pic>
      <xdr:nvPicPr>
        <xdr:cNvPr id="7" name="Picture 7" descr="cid:image010.jpg@01D368EB.32C76D10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" y="238125"/>
          <a:ext cx="177165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3</xdr:col>
      <xdr:colOff>485775</xdr:colOff>
      <xdr:row>19</xdr:row>
      <xdr:rowOff>152400</xdr:rowOff>
    </xdr:to>
    <xdr:pic>
      <xdr:nvPicPr>
        <xdr:cNvPr id="319802" name="Picture 4" descr="controls 2.JPG">
          <a:extLst>
            <a:ext uri="{FF2B5EF4-FFF2-40B4-BE49-F238E27FC236}">
              <a16:creationId xmlns:a16="http://schemas.microsoft.com/office/drawing/2014/main" id="{00000000-0008-0000-0800-00003AE10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5325" y="1133475"/>
          <a:ext cx="3248025" cy="2438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47625</xdr:colOff>
      <xdr:row>25</xdr:row>
      <xdr:rowOff>47625</xdr:rowOff>
    </xdr:from>
    <xdr:to>
      <xdr:col>3</xdr:col>
      <xdr:colOff>533400</xdr:colOff>
      <xdr:row>39</xdr:row>
      <xdr:rowOff>104775</xdr:rowOff>
    </xdr:to>
    <xdr:pic>
      <xdr:nvPicPr>
        <xdr:cNvPr id="319803" name="Picture 6" descr="controls1.JPG">
          <a:extLst>
            <a:ext uri="{FF2B5EF4-FFF2-40B4-BE49-F238E27FC236}">
              <a16:creationId xmlns:a16="http://schemas.microsoft.com/office/drawing/2014/main" id="{00000000-0008-0000-0800-00003BE10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42950" y="4552950"/>
          <a:ext cx="3248025" cy="2438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</xdr:row>
          <xdr:rowOff>0</xdr:rowOff>
        </xdr:from>
        <xdr:to>
          <xdr:col>6</xdr:col>
          <xdr:colOff>762000</xdr:colOff>
          <xdr:row>3</xdr:row>
          <xdr:rowOff>152400</xdr:rowOff>
        </xdr:to>
        <xdr:sp macro="" textlink="">
          <xdr:nvSpPr>
            <xdr:cNvPr id="319489" name="CommandButtonHelpR01" hidden="1">
              <a:extLst>
                <a:ext uri="{63B3BB69-23CF-44E3-9099-C40C66FF867C}">
                  <a14:compatExt spid="_x0000_s319489"/>
                </a:ext>
                <a:ext uri="{FF2B5EF4-FFF2-40B4-BE49-F238E27FC236}">
                  <a16:creationId xmlns:a16="http://schemas.microsoft.com/office/drawing/2014/main" id="{00000000-0008-0000-0800-000001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1</xdr:row>
      <xdr:rowOff>76200</xdr:rowOff>
    </xdr:from>
    <xdr:to>
      <xdr:col>1</xdr:col>
      <xdr:colOff>1800225</xdr:colOff>
      <xdr:row>3</xdr:row>
      <xdr:rowOff>142875</xdr:rowOff>
    </xdr:to>
    <xdr:pic>
      <xdr:nvPicPr>
        <xdr:cNvPr id="6" name="Picture 7" descr="cid:image010.jpg@01D368EB.32C76D10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238125"/>
          <a:ext cx="177165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2</xdr:row>
          <xdr:rowOff>9525</xdr:rowOff>
        </xdr:from>
        <xdr:to>
          <xdr:col>10</xdr:col>
          <xdr:colOff>57150</xdr:colOff>
          <xdr:row>4</xdr:row>
          <xdr:rowOff>0</xdr:rowOff>
        </xdr:to>
        <xdr:sp macro="" textlink="">
          <xdr:nvSpPr>
            <xdr:cNvPr id="14338" name="CommandButton121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9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2743200</xdr:colOff>
          <xdr:row>2</xdr:row>
          <xdr:rowOff>9525</xdr:rowOff>
        </xdr:from>
        <xdr:to>
          <xdr:col>8</xdr:col>
          <xdr:colOff>333375</xdr:colOff>
          <xdr:row>4</xdr:row>
          <xdr:rowOff>0</xdr:rowOff>
        </xdr:to>
        <xdr:sp macro="" textlink="">
          <xdr:nvSpPr>
            <xdr:cNvPr id="14343" name="CommandButton122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9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66675</xdr:colOff>
      <xdr:row>1</xdr:row>
      <xdr:rowOff>85725</xdr:rowOff>
    </xdr:from>
    <xdr:to>
      <xdr:col>5</xdr:col>
      <xdr:colOff>361950</xdr:colOff>
      <xdr:row>3</xdr:row>
      <xdr:rowOff>152400</xdr:rowOff>
    </xdr:to>
    <xdr:pic>
      <xdr:nvPicPr>
        <xdr:cNvPr id="5" name="Picture 7" descr="cid:image010.jpg@01D368EB.32C76D10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247650"/>
          <a:ext cx="177165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314325</xdr:colOff>
      <xdr:row>1</xdr:row>
      <xdr:rowOff>180975</xdr:rowOff>
    </xdr:from>
    <xdr:to>
      <xdr:col>6</xdr:col>
      <xdr:colOff>228600</xdr:colOff>
      <xdr:row>4</xdr:row>
      <xdr:rowOff>0</xdr:rowOff>
    </xdr:to>
    <xdr:pic>
      <xdr:nvPicPr>
        <xdr:cNvPr id="5" name="Picture 7" descr="cid:image010.jpg@01D368EB.32C76D10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361950"/>
          <a:ext cx="177165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54</xdr:row>
      <xdr:rowOff>114300</xdr:rowOff>
    </xdr:from>
    <xdr:to>
      <xdr:col>7</xdr:col>
      <xdr:colOff>19050</xdr:colOff>
      <xdr:row>56</xdr:row>
      <xdr:rowOff>123825</xdr:rowOff>
    </xdr:to>
    <xdr:pic>
      <xdr:nvPicPr>
        <xdr:cNvPr id="6" name="Picture 7" descr="cid:image010.jpg@01D368EB.32C76D10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10306050"/>
          <a:ext cx="177165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57150</xdr:colOff>
      <xdr:row>108</xdr:row>
      <xdr:rowOff>123825</xdr:rowOff>
    </xdr:from>
    <xdr:to>
      <xdr:col>7</xdr:col>
      <xdr:colOff>76200</xdr:colOff>
      <xdr:row>110</xdr:row>
      <xdr:rowOff>133350</xdr:rowOff>
    </xdr:to>
    <xdr:pic>
      <xdr:nvPicPr>
        <xdr:cNvPr id="7" name="Picture 7" descr="cid:image010.jpg@01D368EB.32C76D10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" y="20459700"/>
          <a:ext cx="177165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28575</xdr:colOff>
      <xdr:row>11</xdr:row>
      <xdr:rowOff>142875</xdr:rowOff>
    </xdr:from>
    <xdr:to>
      <xdr:col>8</xdr:col>
      <xdr:colOff>1152525</xdr:colOff>
      <xdr:row>24</xdr:row>
      <xdr:rowOff>95250</xdr:rowOff>
    </xdr:to>
    <xdr:pic>
      <xdr:nvPicPr>
        <xdr:cNvPr id="317792" name="Picture 2" descr="5.jpg">
          <a:extLst>
            <a:ext uri="{FF2B5EF4-FFF2-40B4-BE49-F238E27FC236}">
              <a16:creationId xmlns:a16="http://schemas.microsoft.com/office/drawing/2014/main" id="{00000000-0008-0000-0B00-000060D90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r="14642" b="7555"/>
        <a:stretch>
          <a:fillRect/>
        </a:stretch>
      </xdr:blipFill>
      <xdr:spPr bwMode="auto">
        <a:xfrm>
          <a:off x="752475" y="2095500"/>
          <a:ext cx="3124200" cy="23050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  <xdr:twoCellAnchor editAs="absolute">
    <xdr:from>
      <xdr:col>10</xdr:col>
      <xdr:colOff>0</xdr:colOff>
      <xdr:row>11</xdr:row>
      <xdr:rowOff>152400</xdr:rowOff>
    </xdr:from>
    <xdr:to>
      <xdr:col>12</xdr:col>
      <xdr:colOff>1276350</xdr:colOff>
      <xdr:row>24</xdr:row>
      <xdr:rowOff>114300</xdr:rowOff>
    </xdr:to>
    <xdr:pic>
      <xdr:nvPicPr>
        <xdr:cNvPr id="317793" name="Picture 3" descr="6.jpg">
          <a:extLst>
            <a:ext uri="{FF2B5EF4-FFF2-40B4-BE49-F238E27FC236}">
              <a16:creationId xmlns:a16="http://schemas.microsoft.com/office/drawing/2014/main" id="{00000000-0008-0000-0B00-000061D90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r="17242" b="7591"/>
        <a:stretch>
          <a:fillRect/>
        </a:stretch>
      </xdr:blipFill>
      <xdr:spPr bwMode="auto">
        <a:xfrm>
          <a:off x="4114800" y="2105025"/>
          <a:ext cx="3048000" cy="23145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514350</xdr:colOff>
          <xdr:row>25</xdr:row>
          <xdr:rowOff>142875</xdr:rowOff>
        </xdr:from>
        <xdr:to>
          <xdr:col>12</xdr:col>
          <xdr:colOff>1295400</xdr:colOff>
          <xdr:row>27</xdr:row>
          <xdr:rowOff>142875</xdr:rowOff>
        </xdr:to>
        <xdr:sp macro="" textlink="">
          <xdr:nvSpPr>
            <xdr:cNvPr id="317451" name="CommandButton1" hidden="1">
              <a:extLst>
                <a:ext uri="{63B3BB69-23CF-44E3-9099-C40C66FF867C}">
                  <a14:compatExt spid="_x0000_s317451"/>
                </a:ext>
                <a:ext uri="{FF2B5EF4-FFF2-40B4-BE49-F238E27FC236}">
                  <a16:creationId xmlns:a16="http://schemas.microsoft.com/office/drawing/2014/main" id="{00000000-0008-0000-0B00-00000B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28575</xdr:colOff>
      <xdr:row>1</xdr:row>
      <xdr:rowOff>76200</xdr:rowOff>
    </xdr:from>
    <xdr:to>
      <xdr:col>7</xdr:col>
      <xdr:colOff>47625</xdr:colOff>
      <xdr:row>3</xdr:row>
      <xdr:rowOff>114300</xdr:rowOff>
    </xdr:to>
    <xdr:pic>
      <xdr:nvPicPr>
        <xdr:cNvPr id="6" name="Picture 7" descr="cid:image010.jpg@01D368EB.32C76D10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475" y="257175"/>
          <a:ext cx="177165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1800225</xdr:colOff>
      <xdr:row>0</xdr:row>
      <xdr:rowOff>161925</xdr:rowOff>
    </xdr:from>
    <xdr:to>
      <xdr:col>8</xdr:col>
      <xdr:colOff>238125</xdr:colOff>
      <xdr:row>3</xdr:row>
      <xdr:rowOff>76200</xdr:rowOff>
    </xdr:to>
    <xdr:pic>
      <xdr:nvPicPr>
        <xdr:cNvPr id="332886" name="Picture 1" descr="mkAutomationlogo">
          <a:extLst>
            <a:ext uri="{FF2B5EF4-FFF2-40B4-BE49-F238E27FC236}">
              <a16:creationId xmlns:a16="http://schemas.microsoft.com/office/drawing/2014/main" id="{00000000-0008-0000-0C00-0000561405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820150" y="161925"/>
          <a:ext cx="83820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857250</xdr:colOff>
          <xdr:row>0</xdr:row>
          <xdr:rowOff>209550</xdr:rowOff>
        </xdr:from>
        <xdr:to>
          <xdr:col>7</xdr:col>
          <xdr:colOff>485775</xdr:colOff>
          <xdr:row>2</xdr:row>
          <xdr:rowOff>95250</xdr:rowOff>
        </xdr:to>
        <xdr:sp macro="" textlink="">
          <xdr:nvSpPr>
            <xdr:cNvPr id="332801" name="PartsList1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0C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0</xdr:row>
          <xdr:rowOff>209550</xdr:rowOff>
        </xdr:from>
        <xdr:to>
          <xdr:col>7</xdr:col>
          <xdr:colOff>1323975</xdr:colOff>
          <xdr:row>2</xdr:row>
          <xdr:rowOff>95250</xdr:rowOff>
        </xdr:to>
        <xdr:sp macro="" textlink="">
          <xdr:nvSpPr>
            <xdr:cNvPr id="332802" name="PartsList2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0C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200025</xdr:colOff>
      <xdr:row>0</xdr:row>
      <xdr:rowOff>114300</xdr:rowOff>
    </xdr:from>
    <xdr:to>
      <xdr:col>13</xdr:col>
      <xdr:colOff>161925</xdr:colOff>
      <xdr:row>3</xdr:row>
      <xdr:rowOff>47625</xdr:rowOff>
    </xdr:to>
    <xdr:pic>
      <xdr:nvPicPr>
        <xdr:cNvPr id="339969" name="Picture 1" descr="mkAutomationlogo">
          <a:extLst>
            <a:ext uri="{FF2B5EF4-FFF2-40B4-BE49-F238E27FC236}">
              <a16:creationId xmlns:a16="http://schemas.microsoft.com/office/drawing/2014/main" id="{00000000-0008-0000-1200-0000013005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43700" y="114300"/>
          <a:ext cx="990600" cy="638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438150</xdr:colOff>
      <xdr:row>0</xdr:row>
      <xdr:rowOff>95250</xdr:rowOff>
    </xdr:from>
    <xdr:to>
      <xdr:col>10</xdr:col>
      <xdr:colOff>85725</xdr:colOff>
      <xdr:row>3</xdr:row>
      <xdr:rowOff>133350</xdr:rowOff>
    </xdr:to>
    <xdr:pic>
      <xdr:nvPicPr>
        <xdr:cNvPr id="343041" name="Picture 1" descr="mkAutomationlogo">
          <a:extLst>
            <a:ext uri="{FF2B5EF4-FFF2-40B4-BE49-F238E27FC236}">
              <a16:creationId xmlns:a16="http://schemas.microsoft.com/office/drawing/2014/main" id="{00000000-0008-0000-1500-0000013C05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162550" y="95250"/>
          <a:ext cx="828675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41</xdr:col>
          <xdr:colOff>180975</xdr:colOff>
          <xdr:row>59</xdr:row>
          <xdr:rowOff>76200</xdr:rowOff>
        </xdr:to>
        <xdr:sp macro="" textlink="">
          <xdr:nvSpPr>
            <xdr:cNvPr id="78851" name="Object 3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15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266700</xdr:colOff>
      <xdr:row>0</xdr:row>
      <xdr:rowOff>133350</xdr:rowOff>
    </xdr:from>
    <xdr:to>
      <xdr:col>11</xdr:col>
      <xdr:colOff>238125</xdr:colOff>
      <xdr:row>3</xdr:row>
      <xdr:rowOff>57150</xdr:rowOff>
    </xdr:to>
    <xdr:pic>
      <xdr:nvPicPr>
        <xdr:cNvPr id="2" name="Picture 1" descr="mkAutomationlogo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57900" y="133350"/>
          <a:ext cx="990600" cy="628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99FF99"/>
        </a:solidFill>
        <a:ln w="12700">
          <a:solidFill>
            <a:schemeClr val="tx1"/>
          </a:solidFill>
        </a:ln>
      </a:spPr>
      <a:bodyPr vertOverflow="clip" rtlCol="0" anchor="ctr"/>
      <a:lstStyle>
        <a:defPPr algn="ctr">
          <a:defRPr sz="1100" baseline="0">
            <a:solidFill>
              <a:sysClr val="windowText" lastClr="000000"/>
            </a:solidFill>
          </a:defRPr>
        </a:defPPr>
      </a:lstStyle>
      <a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http://www.yushinamerica.com/" TargetMode="External"/><Relationship Id="rId1" Type="http://schemas.openxmlformats.org/officeDocument/2006/relationships/hyperlink" Target="mailto:Salesinfo@yushin.com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11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7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24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8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31.emf"/><Relationship Id="rId4" Type="http://schemas.openxmlformats.org/officeDocument/2006/relationships/control" Target="../activeX/activeX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35.emf"/><Relationship Id="rId4" Type="http://schemas.openxmlformats.org/officeDocument/2006/relationships/control" Target="../activeX/activeX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7.xml"/><Relationship Id="rId5" Type="http://schemas.openxmlformats.org/officeDocument/2006/relationships/image" Target="../media/image38.emf"/><Relationship Id="rId4" Type="http://schemas.openxmlformats.org/officeDocument/2006/relationships/control" Target="../activeX/activeX1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salesinfo@yushin.com" TargetMode="External"/><Relationship Id="rId7" Type="http://schemas.openxmlformats.org/officeDocument/2006/relationships/printerSettings" Target="../printerSettings/printerSettings11.bin"/><Relationship Id="rId2" Type="http://schemas.openxmlformats.org/officeDocument/2006/relationships/hyperlink" Target="http://www.yushinamerica.com/" TargetMode="External"/><Relationship Id="rId1" Type="http://schemas.openxmlformats.org/officeDocument/2006/relationships/hyperlink" Target="mailto:salesinfo@yushin.com" TargetMode="External"/><Relationship Id="rId6" Type="http://schemas.openxmlformats.org/officeDocument/2006/relationships/hyperlink" Target="http://www.yushinamerica.com/" TargetMode="External"/><Relationship Id="rId5" Type="http://schemas.openxmlformats.org/officeDocument/2006/relationships/hyperlink" Target="mailto:salesinfo@yushin.com" TargetMode="External"/><Relationship Id="rId4" Type="http://schemas.openxmlformats.org/officeDocument/2006/relationships/hyperlink" Target="http://www.yushinamerica.com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7" Type="http://schemas.openxmlformats.org/officeDocument/2006/relationships/image" Target="../media/image40.emf"/><Relationship Id="rId2" Type="http://schemas.openxmlformats.org/officeDocument/2006/relationships/hyperlink" Target="http://www.yushinamerica.com/" TargetMode="External"/><Relationship Id="rId1" Type="http://schemas.openxmlformats.org/officeDocument/2006/relationships/hyperlink" Target="mailto:Salesinfo@yushin.com" TargetMode="External"/><Relationship Id="rId6" Type="http://schemas.openxmlformats.org/officeDocument/2006/relationships/control" Target="../activeX/activeX18.xml"/><Relationship Id="rId5" Type="http://schemas.openxmlformats.org/officeDocument/2006/relationships/vmlDrawing" Target="../drawings/vmlDrawing11.vml"/><Relationship Id="rId4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0.xml"/><Relationship Id="rId5" Type="http://schemas.openxmlformats.org/officeDocument/2006/relationships/image" Target="../media/image43.emf"/><Relationship Id="rId4" Type="http://schemas.openxmlformats.org/officeDocument/2006/relationships/control" Target="../activeX/activeX1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2.bin"/><Relationship Id="rId5" Type="http://schemas.openxmlformats.org/officeDocument/2006/relationships/image" Target="../media/image47.emf"/><Relationship Id="rId4" Type="http://schemas.openxmlformats.org/officeDocument/2006/relationships/oleObject" Target="../embeddings/oleObject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A2:L26"/>
  <sheetViews>
    <sheetView showOutlineSymbols="0" zoomScaleNormal="100" workbookViewId="0">
      <selection activeCell="D3" sqref="D3"/>
    </sheetView>
  </sheetViews>
  <sheetFormatPr defaultRowHeight="14.25" x14ac:dyDescent="0.2"/>
  <cols>
    <col min="1" max="1" width="7.5703125" style="91" customWidth="1"/>
    <col min="2" max="2" width="6.140625" style="91" bestFit="1" customWidth="1"/>
    <col min="3" max="3" width="3.7109375" style="91" customWidth="1"/>
    <col min="4" max="4" width="3.85546875" style="91" bestFit="1" customWidth="1"/>
    <col min="5" max="5" width="8.85546875" style="91" customWidth="1"/>
    <col min="6" max="6" width="3.7109375" style="91" bestFit="1" customWidth="1"/>
    <col min="7" max="8" width="3.7109375" style="91" customWidth="1"/>
    <col min="9" max="9" width="7.85546875" style="91" bestFit="1" customWidth="1"/>
    <col min="10" max="10" width="12.7109375" style="91" customWidth="1"/>
    <col min="11" max="11" width="20.28515625" style="91" bestFit="1" customWidth="1"/>
    <col min="12" max="12" width="24.42578125" style="91" bestFit="1" customWidth="1"/>
    <col min="13" max="13" width="13.140625" style="91" bestFit="1" customWidth="1"/>
    <col min="14" max="16384" width="9.140625" style="91"/>
  </cols>
  <sheetData>
    <row r="2" spans="1:12" ht="15" x14ac:dyDescent="0.2">
      <c r="A2" s="99"/>
      <c r="B2" s="92"/>
      <c r="C2" s="92"/>
      <c r="D2" s="92"/>
      <c r="E2" s="92"/>
      <c r="F2" s="92"/>
      <c r="G2" s="92"/>
      <c r="H2" s="92"/>
      <c r="I2" s="92"/>
      <c r="J2" s="92"/>
      <c r="K2" s="634" t="s">
        <v>2057</v>
      </c>
      <c r="L2" s="634" t="s">
        <v>2058</v>
      </c>
    </row>
    <row r="3" spans="1:12" ht="13.15" customHeight="1" x14ac:dyDescent="0.2">
      <c r="B3" s="92"/>
      <c r="C3" s="92"/>
      <c r="D3" s="92"/>
      <c r="E3" s="92"/>
      <c r="F3" s="92"/>
      <c r="G3" s="92"/>
      <c r="H3" s="92"/>
      <c r="I3" s="92"/>
      <c r="J3" s="92"/>
      <c r="K3" s="634" t="s">
        <v>2059</v>
      </c>
      <c r="L3" s="634" t="s">
        <v>2060</v>
      </c>
    </row>
    <row r="4" spans="1:12" ht="13.15" customHeight="1" x14ac:dyDescent="0.2">
      <c r="B4" s="92"/>
      <c r="C4" s="92"/>
      <c r="D4" s="92"/>
      <c r="E4" s="92"/>
      <c r="F4" s="92"/>
      <c r="G4" s="92"/>
      <c r="H4" s="92"/>
      <c r="I4" s="92"/>
      <c r="J4" s="92"/>
      <c r="K4" s="635" t="s">
        <v>2061</v>
      </c>
      <c r="L4" s="635" t="s">
        <v>2062</v>
      </c>
    </row>
    <row r="5" spans="1:12" ht="12.75" customHeight="1" thickBot="1" x14ac:dyDescent="0.25">
      <c r="B5" s="788"/>
      <c r="C5" s="788"/>
      <c r="D5" s="788"/>
      <c r="E5" s="788"/>
      <c r="F5" s="788"/>
      <c r="G5" s="788"/>
      <c r="H5" s="788"/>
      <c r="I5" s="788"/>
      <c r="J5" s="788"/>
      <c r="K5" s="788"/>
      <c r="L5" s="788"/>
    </row>
    <row r="6" spans="1:12" ht="12.75" customHeight="1" thickTop="1" x14ac:dyDescent="0.2">
      <c r="B6" s="787"/>
      <c r="C6" s="787"/>
      <c r="D6" s="787"/>
      <c r="E6" s="787"/>
      <c r="F6" s="787"/>
      <c r="G6" s="787"/>
      <c r="H6" s="787"/>
      <c r="I6" s="787"/>
      <c r="J6" s="787"/>
      <c r="K6" s="787"/>
      <c r="L6" s="787"/>
    </row>
    <row r="7" spans="1:12" x14ac:dyDescent="0.2">
      <c r="B7" s="818" t="s">
        <v>834</v>
      </c>
      <c r="C7" s="818"/>
      <c r="D7" s="818"/>
      <c r="E7" s="818"/>
      <c r="F7" s="818"/>
      <c r="G7" s="818"/>
      <c r="H7" s="818"/>
      <c r="I7" s="818"/>
    </row>
    <row r="8" spans="1:12" x14ac:dyDescent="0.2">
      <c r="B8" s="818"/>
      <c r="C8" s="818"/>
      <c r="D8" s="818"/>
      <c r="E8" s="818"/>
      <c r="F8" s="818"/>
      <c r="G8" s="818"/>
      <c r="H8" s="818"/>
      <c r="I8" s="818"/>
    </row>
    <row r="10" spans="1:12" x14ac:dyDescent="0.2">
      <c r="B10" s="91" t="s">
        <v>2063</v>
      </c>
    </row>
    <row r="11" spans="1:12" x14ac:dyDescent="0.2">
      <c r="B11" s="91" t="s">
        <v>2064</v>
      </c>
    </row>
    <row r="12" spans="1:12" x14ac:dyDescent="0.2">
      <c r="B12" s="91" t="s">
        <v>2065</v>
      </c>
    </row>
    <row r="14" spans="1:12" x14ac:dyDescent="0.2">
      <c r="B14" s="91" t="s">
        <v>2066</v>
      </c>
    </row>
    <row r="15" spans="1:12" x14ac:dyDescent="0.2">
      <c r="B15" s="91" t="s">
        <v>2067</v>
      </c>
    </row>
    <row r="16" spans="1:12" x14ac:dyDescent="0.2">
      <c r="B16" s="91" t="s">
        <v>2068</v>
      </c>
    </row>
    <row r="17" spans="2:12" x14ac:dyDescent="0.2">
      <c r="B17" s="91" t="s">
        <v>2069</v>
      </c>
    </row>
    <row r="18" spans="2:12" x14ac:dyDescent="0.2">
      <c r="B18" s="91" t="s">
        <v>2070</v>
      </c>
    </row>
    <row r="20" spans="2:12" x14ac:dyDescent="0.2">
      <c r="B20" s="91" t="s">
        <v>2055</v>
      </c>
    </row>
    <row r="21" spans="2:12" x14ac:dyDescent="0.2">
      <c r="B21" s="92"/>
      <c r="C21" s="92"/>
      <c r="D21" s="92"/>
      <c r="E21" s="92"/>
      <c r="F21" s="92"/>
      <c r="G21" s="92"/>
      <c r="H21" s="92"/>
    </row>
    <row r="22" spans="2:12" x14ac:dyDescent="0.2">
      <c r="B22" s="92" t="s">
        <v>790</v>
      </c>
    </row>
    <row r="24" spans="2:12" x14ac:dyDescent="0.2">
      <c r="L24" s="239" t="s">
        <v>2056</v>
      </c>
    </row>
    <row r="25" spans="2:12" x14ac:dyDescent="0.2">
      <c r="L25" s="239" t="s">
        <v>833</v>
      </c>
    </row>
    <row r="26" spans="2:12" x14ac:dyDescent="0.2">
      <c r="L26" s="239" t="s">
        <v>2404</v>
      </c>
    </row>
  </sheetData>
  <sheetProtection algorithmName="SHA-512" hashValue="/Aws7uOv9mjWj+JA+ZylUdJW0lBnni4OEav27r2MWOHKIbFw1vhQUBgphuepG2jSmzfkb0xZnT66GDa9FDdtMQ==" saltValue="9iL1ueVCrABjHb8OU+mB5w==" spinCount="100000" sheet="1" objects="1" scenarios="1" selectLockedCells="1"/>
  <dataConsolidate/>
  <mergeCells count="1">
    <mergeCell ref="B7:I8"/>
  </mergeCells>
  <phoneticPr fontId="7" type="noConversion"/>
  <hyperlinks>
    <hyperlink ref="K4" r:id="rId1" display="mailto:Salesinfo@yushin.com" xr:uid="{00000000-0004-0000-0000-000000000000}"/>
    <hyperlink ref="L4" r:id="rId2" display="http://www.yushinamerica.com/" xr:uid="{00000000-0004-0000-0000-000001000000}"/>
  </hyperlinks>
  <pageMargins left="0.75" right="0.75" top="0.49" bottom="0.5" header="0.5" footer="0.5"/>
  <pageSetup fitToHeight="4" orientation="portrait" r:id="rId3"/>
  <headerFooter alignWithMargins="0">
    <oddFooter>&amp;R&amp;P of &amp;N</oddFooter>
  </headerFooter>
  <drawing r:id="rId4"/>
  <legacyDrawing r:id="rId5"/>
  <controls>
    <mc:AlternateContent xmlns:mc="http://schemas.openxmlformats.org/markup-compatibility/2006">
      <mc:Choice Requires="x14">
        <control shapeId="18441" r:id="rId6" name="Reject">
          <controlPr defaultSize="0" autoLine="0" r:id="rId7">
            <anchor moveWithCells="1">
              <from>
                <xdr:col>11</xdr:col>
                <xdr:colOff>942975</xdr:colOff>
                <xdr:row>26</xdr:row>
                <xdr:rowOff>85725</xdr:rowOff>
              </from>
              <to>
                <xdr:col>12</xdr:col>
                <xdr:colOff>9525</xdr:colOff>
                <xdr:row>28</xdr:row>
                <xdr:rowOff>38100</xdr:rowOff>
              </to>
            </anchor>
          </controlPr>
        </control>
      </mc:Choice>
      <mc:Fallback>
        <control shapeId="18441" r:id="rId6" name="Reject"/>
      </mc:Fallback>
    </mc:AlternateContent>
    <mc:AlternateContent xmlns:mc="http://schemas.openxmlformats.org/markup-compatibility/2006">
      <mc:Choice Requires="x14">
        <control shapeId="18440" r:id="rId8" name="Accept">
          <controlPr defaultSize="0" autoLine="0" r:id="rId9">
            <anchor moveWithCells="1">
              <from>
                <xdr:col>11</xdr:col>
                <xdr:colOff>142875</xdr:colOff>
                <xdr:row>26</xdr:row>
                <xdr:rowOff>85725</xdr:rowOff>
              </from>
              <to>
                <xdr:col>11</xdr:col>
                <xdr:colOff>838200</xdr:colOff>
                <xdr:row>28</xdr:row>
                <xdr:rowOff>38100</xdr:rowOff>
              </to>
            </anchor>
          </controlPr>
        </control>
      </mc:Choice>
      <mc:Fallback>
        <control shapeId="18440" r:id="rId8" name="Accep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A5:M32"/>
  <sheetViews>
    <sheetView showOutlineSymbols="0" zoomScaleNormal="95" workbookViewId="0">
      <selection activeCell="E11" sqref="E11"/>
    </sheetView>
  </sheetViews>
  <sheetFormatPr defaultRowHeight="12.75" outlineLevelRow="1" x14ac:dyDescent="0.2"/>
  <cols>
    <col min="1" max="1" width="5.140625" style="518" customWidth="1"/>
    <col min="2" max="2" width="4.140625" style="518" bestFit="1" customWidth="1"/>
    <col min="3" max="3" width="33.28515625" style="518" bestFit="1" customWidth="1"/>
    <col min="4" max="4" width="6.140625" style="518" bestFit="1" customWidth="1"/>
    <col min="5" max="5" width="16" style="518" customWidth="1"/>
    <col min="6" max="6" width="10" style="518" customWidth="1"/>
    <col min="7" max="7" width="9.85546875" style="518" bestFit="1" customWidth="1"/>
    <col min="8" max="8" width="4.7109375" style="518" customWidth="1"/>
    <col min="9" max="9" width="15.28515625" style="518" bestFit="1" customWidth="1"/>
    <col min="10" max="10" width="3" style="518" customWidth="1"/>
    <col min="11" max="11" width="2.85546875" style="518" customWidth="1"/>
    <col min="12" max="12" width="9.140625" style="518"/>
    <col min="13" max="13" width="0" style="518" hidden="1" customWidth="1"/>
    <col min="14" max="16384" width="9.140625" style="518"/>
  </cols>
  <sheetData>
    <row r="5" spans="1:13" s="91" customFormat="1" ht="12.75" customHeight="1" thickBot="1" x14ac:dyDescent="0.25">
      <c r="B5" s="788"/>
      <c r="C5" s="788"/>
      <c r="D5" s="788"/>
      <c r="E5" s="788"/>
      <c r="F5" s="788"/>
      <c r="G5" s="788"/>
      <c r="H5" s="788"/>
      <c r="I5" s="788"/>
      <c r="J5" s="788"/>
      <c r="K5" s="788"/>
      <c r="L5" s="518"/>
    </row>
    <row r="6" spans="1:13" ht="13.5" thickTop="1" x14ac:dyDescent="0.2"/>
    <row r="7" spans="1:13" ht="13.15" customHeight="1" x14ac:dyDescent="0.3">
      <c r="B7" s="819" t="s">
        <v>2073</v>
      </c>
      <c r="C7" s="819"/>
      <c r="D7" s="819"/>
      <c r="K7" s="531"/>
    </row>
    <row r="8" spans="1:13" ht="12.75" customHeight="1" x14ac:dyDescent="0.3">
      <c r="B8" s="819"/>
      <c r="C8" s="819"/>
      <c r="D8" s="819"/>
      <c r="K8" s="531"/>
    </row>
    <row r="9" spans="1:13" ht="13.5" thickBot="1" x14ac:dyDescent="0.25"/>
    <row r="10" spans="1:13" s="517" customFormat="1" ht="15" customHeight="1" x14ac:dyDescent="0.2">
      <c r="B10" s="537"/>
      <c r="C10" s="538"/>
      <c r="D10" s="536"/>
      <c r="E10" s="536"/>
      <c r="F10" s="536"/>
      <c r="G10" s="536"/>
      <c r="H10" s="536"/>
      <c r="I10" s="536"/>
      <c r="J10" s="539"/>
    </row>
    <row r="11" spans="1:13" s="517" customFormat="1" ht="15.75" x14ac:dyDescent="0.2">
      <c r="B11" s="540" t="s">
        <v>912</v>
      </c>
      <c r="C11" s="519" t="s">
        <v>925</v>
      </c>
      <c r="D11" s="532" t="s">
        <v>558</v>
      </c>
      <c r="E11" s="521"/>
      <c r="F11" s="694" t="s">
        <v>913</v>
      </c>
      <c r="G11" s="521">
        <v>3352.8</v>
      </c>
      <c r="I11" s="541" t="str">
        <f>IF(+E11*G11&lt;&gt;0,"Clear one field"," ")</f>
        <v xml:space="preserve"> </v>
      </c>
      <c r="J11" s="542"/>
    </row>
    <row r="12" spans="1:13" s="517" customFormat="1" ht="15.75" hidden="1" outlineLevel="1" x14ac:dyDescent="0.2">
      <c r="A12" s="690"/>
      <c r="B12" s="543"/>
      <c r="E12" s="533">
        <f>IF(G11&lt;&gt;0,+G11,+Start*25.4)</f>
        <v>3352.8</v>
      </c>
      <c r="F12" s="517" t="s">
        <v>310</v>
      </c>
      <c r="H12" s="544"/>
      <c r="J12" s="542"/>
      <c r="M12" s="517">
        <f>IF(p0q1=0,1,0)</f>
        <v>0</v>
      </c>
    </row>
    <row r="13" spans="1:13" s="517" customFormat="1" ht="15.75" customHeight="1" collapsed="1" x14ac:dyDescent="0.2">
      <c r="B13" s="540" t="s">
        <v>914</v>
      </c>
      <c r="C13" s="519" t="s">
        <v>1224</v>
      </c>
      <c r="D13" s="532" t="s">
        <v>549</v>
      </c>
      <c r="E13" s="549">
        <v>800</v>
      </c>
      <c r="F13" s="821" t="str">
        <f>"("&amp;ROUND(P0Q2/25.4,2)&amp;" in)"</f>
        <v>(31.5 in)</v>
      </c>
      <c r="G13" s="821"/>
      <c r="J13" s="542"/>
      <c r="M13" s="517">
        <f>IF(P0Q2=0,1,0)</f>
        <v>0</v>
      </c>
    </row>
    <row r="14" spans="1:13" s="517" customFormat="1" ht="15.75" x14ac:dyDescent="0.2">
      <c r="B14" s="595"/>
      <c r="C14" s="596"/>
      <c r="D14" s="532"/>
      <c r="J14" s="542"/>
    </row>
    <row r="15" spans="1:13" s="517" customFormat="1" ht="15.6" customHeight="1" x14ac:dyDescent="0.2">
      <c r="B15" s="540" t="s">
        <v>915</v>
      </c>
      <c r="C15" s="578" t="s">
        <v>1974</v>
      </c>
      <c r="E15" s="521" t="s">
        <v>1975</v>
      </c>
      <c r="G15" s="820">
        <f>IF(p0q1/P0Q2&lt;2,"Conveyor is too short.  
Length must be at least 2xWidth!",(IF(p0q1&gt;10000,"Over 10 meters. Engineering must check calculations",)))</f>
        <v>0</v>
      </c>
      <c r="H15" s="820"/>
      <c r="I15" s="820"/>
      <c r="J15" s="542"/>
      <c r="M15" s="517">
        <f>IF(P0Q14=0,1,0)</f>
        <v>0</v>
      </c>
    </row>
    <row r="16" spans="1:13" s="517" customFormat="1" ht="15.6" customHeight="1" x14ac:dyDescent="0.2">
      <c r="B16" s="540" t="s">
        <v>916</v>
      </c>
      <c r="C16" s="534" t="s">
        <v>926</v>
      </c>
      <c r="E16" s="521">
        <v>0</v>
      </c>
      <c r="G16" s="820"/>
      <c r="H16" s="820"/>
      <c r="I16" s="820"/>
      <c r="J16" s="542"/>
    </row>
    <row r="17" spans="1:13" s="517" customFormat="1" ht="15.75" x14ac:dyDescent="0.2">
      <c r="B17" s="543"/>
      <c r="J17" s="542"/>
    </row>
    <row r="18" spans="1:13" s="517" customFormat="1" ht="15.75" x14ac:dyDescent="0.2">
      <c r="B18" s="540" t="s">
        <v>917</v>
      </c>
      <c r="C18" s="519" t="s">
        <v>927</v>
      </c>
      <c r="E18" s="521" t="s">
        <v>528</v>
      </c>
      <c r="G18" s="820" t="str">
        <f>IF(p0q1&gt;6096,"Require V-Guided Belt / Mechanical 
Splice.  Contact mk for Pricing","")</f>
        <v/>
      </c>
      <c r="H18" s="820"/>
      <c r="I18" s="820"/>
      <c r="J18" s="542"/>
    </row>
    <row r="19" spans="1:13" s="517" customFormat="1" ht="15.75" x14ac:dyDescent="0.2">
      <c r="B19" s="540" t="s">
        <v>918</v>
      </c>
      <c r="C19" s="519" t="s">
        <v>928</v>
      </c>
      <c r="E19" s="521" t="s">
        <v>388</v>
      </c>
      <c r="G19" s="820"/>
      <c r="H19" s="820"/>
      <c r="I19" s="820"/>
      <c r="J19" s="542"/>
    </row>
    <row r="20" spans="1:13" s="517" customFormat="1" ht="15" x14ac:dyDescent="0.2">
      <c r="B20" s="547"/>
      <c r="J20" s="542"/>
    </row>
    <row r="21" spans="1:13" s="517" customFormat="1" ht="15.75" x14ac:dyDescent="0.2">
      <c r="B21" s="540" t="s">
        <v>920</v>
      </c>
      <c r="C21" s="519" t="s">
        <v>931</v>
      </c>
      <c r="D21" s="546" t="s">
        <v>924</v>
      </c>
      <c r="E21" s="521" t="s">
        <v>2149</v>
      </c>
      <c r="H21" s="544"/>
      <c r="J21" s="542"/>
    </row>
    <row r="22" spans="1:13" s="517" customFormat="1" ht="15" hidden="1" outlineLevel="1" x14ac:dyDescent="0.2">
      <c r="A22" s="690"/>
      <c r="B22" s="547"/>
      <c r="E22" s="533">
        <f>IF(P0Q3_Select="0-20",20/2.2,IF(P0Q3_Select="21-40",40/2.2,60/2.2))</f>
        <v>27.27272727272727</v>
      </c>
      <c r="F22" s="517" t="s">
        <v>311</v>
      </c>
      <c r="J22" s="542"/>
      <c r="M22" s="517">
        <f>IF(p0q3=0,1,0)</f>
        <v>0</v>
      </c>
    </row>
    <row r="23" spans="1:13" s="517" customFormat="1" ht="15.75" collapsed="1" x14ac:dyDescent="0.2">
      <c r="B23" s="540" t="s">
        <v>921</v>
      </c>
      <c r="C23" s="519" t="s">
        <v>932</v>
      </c>
      <c r="E23" s="521" t="s">
        <v>389</v>
      </c>
      <c r="J23" s="542"/>
      <c r="M23" s="517">
        <f>IF(P6Q8=0,1,0)</f>
        <v>0</v>
      </c>
    </row>
    <row r="24" spans="1:13" s="517" customFormat="1" ht="15" x14ac:dyDescent="0.2">
      <c r="B24" s="547"/>
      <c r="J24" s="542"/>
    </row>
    <row r="25" spans="1:13" s="517" customFormat="1" ht="15.75" x14ac:dyDescent="0.2">
      <c r="B25" s="540" t="s">
        <v>922</v>
      </c>
      <c r="C25" s="519" t="s">
        <v>2154</v>
      </c>
      <c r="D25" s="532" t="s">
        <v>919</v>
      </c>
      <c r="E25" s="521" t="s">
        <v>2153</v>
      </c>
      <c r="J25" s="542"/>
    </row>
    <row r="26" spans="1:13" s="517" customFormat="1" ht="15.75" hidden="1" outlineLevel="1" x14ac:dyDescent="0.2">
      <c r="A26" s="690"/>
      <c r="B26" s="543"/>
      <c r="E26" s="533">
        <f>IF(P0Q4_Select="3-30",30/3.2808,60/3.2808)</f>
        <v>18.288222384784198</v>
      </c>
      <c r="F26" s="517" t="s">
        <v>505</v>
      </c>
      <c r="G26" s="530"/>
      <c r="J26" s="542"/>
      <c r="M26" s="517">
        <f>IF(P0Q4=0,1,0)</f>
        <v>0</v>
      </c>
    </row>
    <row r="27" spans="1:13" s="517" customFormat="1" ht="15" hidden="1" outlineLevel="1" x14ac:dyDescent="0.2">
      <c r="A27" s="690"/>
      <c r="B27" s="547"/>
      <c r="J27" s="542"/>
      <c r="M27" s="650">
        <f>SUM(M12:M26)</f>
        <v>0</v>
      </c>
    </row>
    <row r="28" spans="1:13" s="517" customFormat="1" ht="15.75" hidden="1" outlineLevel="1" x14ac:dyDescent="0.2">
      <c r="A28" s="690"/>
      <c r="B28" s="540" t="s">
        <v>923</v>
      </c>
      <c r="C28" s="617" t="s">
        <v>2021</v>
      </c>
      <c r="D28" s="527"/>
      <c r="E28" s="636" t="s">
        <v>963</v>
      </c>
      <c r="J28" s="542"/>
    </row>
    <row r="29" spans="1:13" s="517" customFormat="1" ht="15.75" hidden="1" outlineLevel="1" x14ac:dyDescent="0.2">
      <c r="A29" s="690"/>
      <c r="B29" s="540" t="s">
        <v>2052</v>
      </c>
      <c r="C29" s="519" t="s">
        <v>929</v>
      </c>
      <c r="D29" s="527"/>
      <c r="E29" s="636" t="s">
        <v>400</v>
      </c>
      <c r="J29" s="542"/>
    </row>
    <row r="30" spans="1:13" s="517" customFormat="1" ht="15.75" hidden="1" outlineLevel="1" x14ac:dyDescent="0.2">
      <c r="A30" s="690"/>
      <c r="B30" s="540" t="s">
        <v>2053</v>
      </c>
      <c r="C30" s="520" t="s">
        <v>930</v>
      </c>
      <c r="D30" s="527"/>
      <c r="E30" s="636" t="s">
        <v>405</v>
      </c>
      <c r="J30" s="542"/>
    </row>
    <row r="31" spans="1:13" s="517" customFormat="1" ht="15.75" collapsed="1" thickBot="1" x14ac:dyDescent="0.25">
      <c r="B31" s="548"/>
      <c r="C31" s="535"/>
      <c r="D31" s="535"/>
      <c r="E31" s="535"/>
      <c r="F31" s="535"/>
      <c r="G31" s="535"/>
      <c r="H31" s="535"/>
      <c r="I31" s="535"/>
      <c r="J31" s="545"/>
    </row>
    <row r="32" spans="1:13" s="517" customFormat="1" ht="15" x14ac:dyDescent="0.2">
      <c r="B32" s="518"/>
    </row>
  </sheetData>
  <sheetProtection selectLockedCells="1"/>
  <dataConsolidate/>
  <mergeCells count="4">
    <mergeCell ref="B7:D8"/>
    <mergeCell ref="G15:I16"/>
    <mergeCell ref="F13:G13"/>
    <mergeCell ref="G18:I19"/>
  </mergeCells>
  <phoneticPr fontId="7" type="noConversion"/>
  <conditionalFormatting sqref="G11">
    <cfRule type="expression" dxfId="47" priority="16" stopIfTrue="1">
      <formula>+E11&lt;&gt;0</formula>
    </cfRule>
  </conditionalFormatting>
  <conditionalFormatting sqref="E11 E21 E25">
    <cfRule type="expression" dxfId="46" priority="17" stopIfTrue="1">
      <formula>+G11&lt;&gt;0</formula>
    </cfRule>
  </conditionalFormatting>
  <conditionalFormatting sqref="G15:I16">
    <cfRule type="expression" dxfId="45" priority="13" stopIfTrue="1">
      <formula>p0q1&gt;10000</formula>
    </cfRule>
    <cfRule type="expression" dxfId="44" priority="19" stopIfTrue="1">
      <formula>p0q1/P0Q2&lt;2</formula>
    </cfRule>
  </conditionalFormatting>
  <conditionalFormatting sqref="I11">
    <cfRule type="cellIs" dxfId="43" priority="20" stopIfTrue="1" operator="equal">
      <formula>0</formula>
    </cfRule>
  </conditionalFormatting>
  <conditionalFormatting sqref="E30">
    <cfRule type="expression" dxfId="42" priority="6" stopIfTrue="1">
      <formula>P0Q5&lt;&gt;"Variable"</formula>
    </cfRule>
  </conditionalFormatting>
  <conditionalFormatting sqref="G18:I19">
    <cfRule type="expression" dxfId="41" priority="1">
      <formula>p0q1&gt;6096</formula>
    </cfRule>
  </conditionalFormatting>
  <dataValidations xWindow="436" yWindow="772" count="12">
    <dataValidation allowBlank="1" showInputMessage="1" showErrorMessage="1" promptTitle="Speed Control:" prompt="N/A if constant speed" sqref="E30" xr:uid="{00000000-0002-0000-0100-000000000000}"/>
    <dataValidation allowBlank="1" showInputMessage="1" showErrorMessage="1" promptTitle="Motor" prompt="N/A if no motor requested_x000a_" sqref="E28:E29" xr:uid="{00000000-0002-0000-0100-000001000000}"/>
    <dataValidation type="list" operator="lessThanOrEqual" showInputMessage="1" showErrorMessage="1" errorTitle="Speed" error="Please select a speed range from the drop-down list." sqref="E25" xr:uid="{00000000-0002-0000-0100-000002000000}">
      <formula1>Speed_Range</formula1>
    </dataValidation>
    <dataValidation type="list" operator="lessThanOrEqual" showErrorMessage="1" errorTitle="Load" error="Please select a load range from the drop-down list." sqref="E21" xr:uid="{00000000-0002-0000-0100-000003000000}">
      <formula1>Load_Range</formula1>
    </dataValidation>
    <dataValidation type="list" allowBlank="1" showInputMessage="1" showErrorMessage="1" sqref="E23" xr:uid="{00000000-0002-0000-0100-000004000000}">
      <formula1>YesorNo</formula1>
    </dataValidation>
    <dataValidation type="list" allowBlank="1" showErrorMessage="1" promptTitle="Motor" prompt="N/A if no motor requested_x000a_" sqref="E19" xr:uid="{00000000-0002-0000-0100-000005000000}">
      <formula1>YesorNo</formula1>
    </dataValidation>
    <dataValidation type="list" allowBlank="1" showInputMessage="1" showErrorMessage="1" sqref="E13" xr:uid="{00000000-0002-0000-0100-000006000000}">
      <formula1>ConveyorWidth</formula1>
    </dataValidation>
    <dataValidation type="decimal" operator="lessThanOrEqual" allowBlank="1" showInputMessage="1" showErrorMessage="1" errorTitle="OAL" error="Too long for this Configurator._x000a_Maximum L = 10,000 mm_x000a_Please consult factory." sqref="G11" xr:uid="{00000000-0002-0000-0100-000007000000}">
      <formula1>20000</formula1>
    </dataValidation>
    <dataValidation type="decimal" operator="lessThanOrEqual" allowBlank="1" showInputMessage="1" showErrorMessage="1" errorTitle="OAL" error="Too long for this Configurator._x000a_Maximum L = 393 inches._x000a_Please consult factory." sqref="E11" xr:uid="{00000000-0002-0000-0100-000008000000}">
      <formula1>787</formula1>
    </dataValidation>
    <dataValidation type="whole" allowBlank="1" showInputMessage="1" showErrorMessage="1" errorTitle="Incline / Decline" error="Maximum with flat belts is 35 degrees._x000a_Others require cleats._x000a_Please consult factory." promptTitle="Incline/Decline" prompt="0 = Horizontal_x000a_Enter negative number for decline angles." sqref="E16" xr:uid="{00000000-0002-0000-0100-000009000000}">
      <formula1>-35</formula1>
      <formula2>35</formula2>
    </dataValidation>
    <dataValidation type="list" showErrorMessage="1" errorTitle="Slider" error="Please select Slider Bed material from drop-down list." promptTitle="Incline/Decline" prompt="0 = Horizontal_x000a_Enter negative number for decline angles." sqref="E15" xr:uid="{00000000-0002-0000-0100-00000A000000}">
      <formula1>Slider</formula1>
    </dataValidation>
    <dataValidation type="list" allowBlank="1" showErrorMessage="1" promptTitle="Motor" prompt="N/A if no motor requested_x000a_" sqref="E18" xr:uid="{00000000-0002-0000-0100-00000B000000}">
      <formula1>FixedorAdjustableRails</formula1>
    </dataValidation>
  </dataValidations>
  <pageMargins left="0.75" right="0.75" top="0.49" bottom="0.5" header="0.5" footer="0.5"/>
  <pageSetup scale="75" orientation="portrait" r:id="rId1"/>
  <headerFooter alignWithMargins="0">
    <oddFooter>&amp;L&amp;Z&amp;F&amp;R&amp;D</oddFooter>
  </headerFooter>
  <ignoredErrors>
    <ignoredError sqref="G15" evalError="1"/>
  </ignoredErrors>
  <drawing r:id="rId2"/>
  <legacyDrawing r:id="rId3"/>
  <controls>
    <mc:AlternateContent xmlns:mc="http://schemas.openxmlformats.org/markup-compatibility/2006">
      <mc:Choice Requires="x14">
        <control shapeId="5132" r:id="rId4" name="CommandButton03">
          <controlPr defaultSize="0" autoLine="0" r:id="rId5">
            <anchor moveWithCells="1">
              <from>
                <xdr:col>8</xdr:col>
                <xdr:colOff>495300</xdr:colOff>
                <xdr:row>1</xdr:row>
                <xdr:rowOff>66675</xdr:rowOff>
              </from>
              <to>
                <xdr:col>9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5132" r:id="rId4" name="CommandButton03"/>
      </mc:Fallback>
    </mc:AlternateContent>
    <mc:AlternateContent xmlns:mc="http://schemas.openxmlformats.org/markup-compatibility/2006">
      <mc:Choice Requires="x14">
        <control shapeId="5131" r:id="rId6" name="CommandButton02">
          <controlPr defaultSize="0" autoLine="0" r:id="rId7">
            <anchor moveWithCells="1">
              <from>
                <xdr:col>7</xdr:col>
                <xdr:colOff>19050</xdr:colOff>
                <xdr:row>1</xdr:row>
                <xdr:rowOff>66675</xdr:rowOff>
              </from>
              <to>
                <xdr:col>8</xdr:col>
                <xdr:colOff>400050</xdr:colOff>
                <xdr:row>3</xdr:row>
                <xdr:rowOff>57150</xdr:rowOff>
              </to>
            </anchor>
          </controlPr>
        </control>
      </mc:Choice>
      <mc:Fallback>
        <control shapeId="5131" r:id="rId6" name="CommandButton0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4:N50"/>
  <sheetViews>
    <sheetView showRowColHeaders="0" showOutlineSymbols="0" zoomScaleNormal="95" workbookViewId="0">
      <selection activeCell="E9" sqref="E9"/>
    </sheetView>
  </sheetViews>
  <sheetFormatPr defaultRowHeight="12.75" x14ac:dyDescent="0.2"/>
  <cols>
    <col min="1" max="1" width="10.42578125" style="518" customWidth="1"/>
    <col min="2" max="2" width="11.7109375" style="518" bestFit="1" customWidth="1"/>
    <col min="3" max="3" width="17.5703125" style="518" bestFit="1" customWidth="1"/>
    <col min="4" max="4" width="3.28515625" style="518" customWidth="1"/>
    <col min="5" max="5" width="18.28515625" style="518" bestFit="1" customWidth="1"/>
    <col min="6" max="6" width="2.7109375" style="518" customWidth="1"/>
    <col min="7" max="7" width="9.5703125" style="518" customWidth="1"/>
    <col min="8" max="8" width="5.7109375" style="518" customWidth="1"/>
    <col min="9" max="9" width="16.28515625" style="518" bestFit="1" customWidth="1"/>
    <col min="10" max="10" width="2.85546875" style="518" customWidth="1"/>
    <col min="11" max="11" width="12.140625" style="518" bestFit="1" customWidth="1"/>
    <col min="12" max="12" width="3" style="518" customWidth="1"/>
    <col min="13" max="13" width="9.140625" style="518"/>
    <col min="14" max="14" width="2.85546875" style="518" customWidth="1"/>
    <col min="15" max="15" width="13.140625" style="518" bestFit="1" customWidth="1"/>
    <col min="16" max="16384" width="9.140625" style="518"/>
  </cols>
  <sheetData>
    <row r="4" spans="2:14" ht="15" x14ac:dyDescent="0.2">
      <c r="C4" s="517"/>
    </row>
    <row r="5" spans="2:14" s="91" customFormat="1" ht="12.75" customHeight="1" thickBot="1" x14ac:dyDescent="0.25">
      <c r="B5" s="788"/>
      <c r="C5" s="788"/>
      <c r="D5" s="788"/>
      <c r="E5" s="788"/>
      <c r="F5" s="788"/>
      <c r="G5" s="788"/>
      <c r="H5" s="788"/>
      <c r="I5" s="788"/>
      <c r="J5" s="788"/>
      <c r="K5" s="788"/>
      <c r="L5" s="788"/>
      <c r="M5" s="788"/>
      <c r="N5" s="788"/>
    </row>
    <row r="6" spans="2:14" ht="13.15" customHeight="1" thickTop="1" x14ac:dyDescent="0.3">
      <c r="B6" s="819" t="s">
        <v>2074</v>
      </c>
      <c r="C6" s="819"/>
      <c r="D6" s="819"/>
      <c r="E6" s="819"/>
      <c r="N6" s="531"/>
    </row>
    <row r="7" spans="2:14" ht="12.75" customHeight="1" x14ac:dyDescent="0.3">
      <c r="B7" s="819"/>
      <c r="C7" s="819"/>
      <c r="D7" s="819"/>
      <c r="E7" s="819"/>
      <c r="N7" s="531"/>
    </row>
    <row r="9" spans="2:14" s="517" customFormat="1" ht="15" x14ac:dyDescent="0.2">
      <c r="B9" s="527" t="s">
        <v>892</v>
      </c>
      <c r="C9" s="527"/>
      <c r="D9" s="528"/>
      <c r="E9" s="238" t="s">
        <v>392</v>
      </c>
      <c r="M9" s="518"/>
    </row>
    <row r="10" spans="2:14" s="517" customFormat="1" ht="15" x14ac:dyDescent="0.2"/>
    <row r="11" spans="2:14" s="517" customFormat="1" ht="15" x14ac:dyDescent="0.2">
      <c r="B11" s="519" t="s">
        <v>893</v>
      </c>
      <c r="C11" s="527"/>
      <c r="D11" s="528"/>
      <c r="E11" s="238" t="s">
        <v>396</v>
      </c>
    </row>
    <row r="12" spans="2:14" s="517" customFormat="1" ht="15" x14ac:dyDescent="0.2"/>
    <row r="13" spans="2:14" s="517" customFormat="1" ht="15" x14ac:dyDescent="0.2"/>
    <row r="14" spans="2:14" s="517" customFormat="1" ht="15" x14ac:dyDescent="0.2"/>
    <row r="15" spans="2:14" s="517" customFormat="1" ht="15" x14ac:dyDescent="0.2"/>
    <row r="16" spans="2:14" s="517" customFormat="1" ht="15" x14ac:dyDescent="0.2"/>
    <row r="17" spans="2:11" s="517" customFormat="1" ht="15" x14ac:dyDescent="0.2"/>
    <row r="18" spans="2:11" s="517" customFormat="1" ht="15" x14ac:dyDescent="0.2"/>
    <row r="19" spans="2:11" s="517" customFormat="1" ht="15" x14ac:dyDescent="0.2"/>
    <row r="20" spans="2:11" s="517" customFormat="1" ht="15" customHeight="1" x14ac:dyDescent="0.2"/>
    <row r="21" spans="2:11" s="517" customFormat="1" ht="15" x14ac:dyDescent="0.2"/>
    <row r="22" spans="2:11" s="517" customFormat="1" ht="15" x14ac:dyDescent="0.2"/>
    <row r="23" spans="2:11" s="517" customFormat="1" ht="15" x14ac:dyDescent="0.2"/>
    <row r="24" spans="2:11" s="517" customFormat="1" ht="15" x14ac:dyDescent="0.2"/>
    <row r="25" spans="2:11" s="517" customFormat="1" ht="20.25" x14ac:dyDescent="0.3">
      <c r="B25" s="666" t="s">
        <v>2096</v>
      </c>
    </row>
    <row r="26" spans="2:11" s="517" customFormat="1" ht="15.75" x14ac:dyDescent="0.2">
      <c r="B26" s="517" t="s">
        <v>1971</v>
      </c>
    </row>
    <row r="27" spans="2:11" s="517" customFormat="1" ht="20.25" x14ac:dyDescent="0.3">
      <c r="B27" s="517" t="s">
        <v>894</v>
      </c>
      <c r="G27" s="531" t="s">
        <v>2136</v>
      </c>
      <c r="K27" s="569"/>
    </row>
    <row r="28" spans="2:11" s="517" customFormat="1" ht="15.75" x14ac:dyDescent="0.2">
      <c r="K28" s="569"/>
    </row>
    <row r="29" spans="2:11" s="517" customFormat="1" ht="15" x14ac:dyDescent="0.2"/>
    <row r="30" spans="2:11" s="517" customFormat="1" ht="15" x14ac:dyDescent="0.2"/>
    <row r="31" spans="2:11" s="517" customFormat="1" ht="15" x14ac:dyDescent="0.2"/>
    <row r="32" spans="2:11" s="517" customFormat="1" ht="15" x14ac:dyDescent="0.2"/>
    <row r="33" spans="7:9" s="517" customFormat="1" ht="15" x14ac:dyDescent="0.2"/>
    <row r="34" spans="7:9" s="517" customFormat="1" ht="15" x14ac:dyDescent="0.2"/>
    <row r="35" spans="7:9" s="517" customFormat="1" ht="15" x14ac:dyDescent="0.2"/>
    <row r="36" spans="7:9" s="517" customFormat="1" ht="15" x14ac:dyDescent="0.2"/>
    <row r="37" spans="7:9" s="517" customFormat="1" ht="15" x14ac:dyDescent="0.2"/>
    <row r="38" spans="7:9" s="517" customFormat="1" ht="15" x14ac:dyDescent="0.2"/>
    <row r="39" spans="7:9" s="517" customFormat="1" ht="15" x14ac:dyDescent="0.2"/>
    <row r="40" spans="7:9" s="517" customFormat="1" ht="15" x14ac:dyDescent="0.2"/>
    <row r="41" spans="7:9" s="517" customFormat="1" ht="15" x14ac:dyDescent="0.2"/>
    <row r="42" spans="7:9" s="517" customFormat="1" ht="15" x14ac:dyDescent="0.2"/>
    <row r="43" spans="7:9" s="517" customFormat="1" ht="15" x14ac:dyDescent="0.2"/>
    <row r="44" spans="7:9" s="517" customFormat="1" ht="15" x14ac:dyDescent="0.2"/>
    <row r="45" spans="7:9" s="517" customFormat="1" ht="15" x14ac:dyDescent="0.2"/>
    <row r="46" spans="7:9" s="517" customFormat="1" ht="15" x14ac:dyDescent="0.2">
      <c r="G46" s="529"/>
      <c r="I46" s="529"/>
    </row>
    <row r="47" spans="7:9" s="517" customFormat="1" ht="15" x14ac:dyDescent="0.2">
      <c r="G47" s="529"/>
      <c r="I47" s="529"/>
    </row>
    <row r="48" spans="7:9" s="517" customFormat="1" ht="15" x14ac:dyDescent="0.2">
      <c r="G48" s="529"/>
      <c r="I48" s="529"/>
    </row>
    <row r="49" spans="3:5" ht="15" x14ac:dyDescent="0.2">
      <c r="C49" s="517"/>
      <c r="D49" s="517"/>
      <c r="E49" s="517"/>
    </row>
    <row r="50" spans="3:5" ht="15" x14ac:dyDescent="0.2">
      <c r="C50" s="517"/>
      <c r="D50" s="517"/>
      <c r="E50" s="517"/>
    </row>
  </sheetData>
  <sheetProtection algorithmName="SHA-512" hashValue="Cax6AVVEZPkUl4CAAOSD5psOtdNDsWa8Lt+s1PSYGy3lj8BREOo6Frii1ebf/gnJVflCE4e5ItefTzcwJFTZsA==" saltValue="OyWDLm6b0r9r8e3AGfiZbA==" spinCount="100000" sheet="1" selectLockedCells="1"/>
  <dataConsolidate/>
  <mergeCells count="1">
    <mergeCell ref="B6:E7"/>
  </mergeCells>
  <phoneticPr fontId="7" type="noConversion"/>
  <dataValidations count="2">
    <dataValidation type="list" allowBlank="1" showInputMessage="1" showErrorMessage="1" sqref="E11" xr:uid="{00000000-0002-0000-0200-000000000000}">
      <formula1>LeftorRight</formula1>
    </dataValidation>
    <dataValidation type="list" allowBlank="1" showInputMessage="1" showErrorMessage="1" sqref="E9" xr:uid="{00000000-0002-0000-0200-000001000000}">
      <formula1>HeadorCenter</formula1>
    </dataValidation>
  </dataValidations>
  <pageMargins left="0.75" right="0.75" top="0.49" bottom="0.5" header="0.5" footer="0.5"/>
  <pageSetup scale="71" orientation="portrait" r:id="rId1"/>
  <headerFooter alignWithMargins="0">
    <oddFooter>&amp;L&amp;Z&amp;F&amp;R&amp;D</oddFooter>
  </headerFooter>
  <drawing r:id="rId2"/>
  <legacyDrawing r:id="rId3"/>
  <controls>
    <mc:AlternateContent xmlns:mc="http://schemas.openxmlformats.org/markup-compatibility/2006">
      <mc:Choice Requires="x14">
        <control shapeId="2103" r:id="rId4" name="CommandButton12">
          <controlPr defaultSize="0" autoLine="0" r:id="rId5">
            <anchor moveWithCells="1">
              <from>
                <xdr:col>10</xdr:col>
                <xdr:colOff>28575</xdr:colOff>
                <xdr:row>2</xdr:row>
                <xdr:rowOff>0</xdr:rowOff>
              </from>
              <to>
                <xdr:col>10</xdr:col>
                <xdr:colOff>723900</xdr:colOff>
                <xdr:row>3</xdr:row>
                <xdr:rowOff>152400</xdr:rowOff>
              </to>
            </anchor>
          </controlPr>
        </control>
      </mc:Choice>
      <mc:Fallback>
        <control shapeId="2103" r:id="rId4" name="CommandButton12"/>
      </mc:Fallback>
    </mc:AlternateContent>
    <mc:AlternateContent xmlns:mc="http://schemas.openxmlformats.org/markup-compatibility/2006">
      <mc:Choice Requires="x14">
        <control shapeId="2084" r:id="rId6" name="CommandButton11">
          <controlPr defaultSize="0" autoLine="0" r:id="rId7">
            <anchor moveWithCells="1">
              <from>
                <xdr:col>10</xdr:col>
                <xdr:colOff>790575</xdr:colOff>
                <xdr:row>2</xdr:row>
                <xdr:rowOff>0</xdr:rowOff>
              </from>
              <to>
                <xdr:col>12</xdr:col>
                <xdr:colOff>476250</xdr:colOff>
                <xdr:row>3</xdr:row>
                <xdr:rowOff>152400</xdr:rowOff>
              </to>
            </anchor>
          </controlPr>
        </control>
      </mc:Choice>
      <mc:Fallback>
        <control shapeId="2084" r:id="rId6" name="CommandButton1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5:T66"/>
  <sheetViews>
    <sheetView showOutlineSymbols="0" zoomScaleNormal="95" workbookViewId="0">
      <selection activeCell="E9" sqref="E9"/>
    </sheetView>
  </sheetViews>
  <sheetFormatPr defaultRowHeight="12.75" outlineLevelCol="1" x14ac:dyDescent="0.2"/>
  <cols>
    <col min="1" max="1" width="11.140625" style="518" customWidth="1"/>
    <col min="2" max="2" width="11.7109375" style="518" bestFit="1" customWidth="1"/>
    <col min="3" max="3" width="27.42578125" style="518" customWidth="1"/>
    <col min="4" max="4" width="3.28515625" style="518" customWidth="1"/>
    <col min="5" max="5" width="10.28515625" style="518" customWidth="1"/>
    <col min="6" max="6" width="3.42578125" style="518" customWidth="1"/>
    <col min="7" max="7" width="9.5703125" style="518" customWidth="1"/>
    <col min="8" max="8" width="2.7109375" style="518" customWidth="1"/>
    <col min="9" max="9" width="12.85546875" style="518" customWidth="1"/>
    <col min="10" max="10" width="2.85546875" style="518" customWidth="1"/>
    <col min="11" max="11" width="28.5703125" style="518" customWidth="1"/>
    <col min="12" max="12" width="2.85546875" style="518" customWidth="1"/>
    <col min="13" max="13" width="12.140625" style="518" bestFit="1" customWidth="1"/>
    <col min="14" max="14" width="3" style="518" customWidth="1"/>
    <col min="15" max="15" width="9.140625" style="518"/>
    <col min="16" max="16" width="2.85546875" style="518" customWidth="1"/>
    <col min="17" max="17" width="13.140625" style="518" bestFit="1" customWidth="1"/>
    <col min="18" max="19" width="9.140625" style="518" hidden="1" customWidth="1" outlineLevel="1"/>
    <col min="20" max="20" width="9.140625" style="518" collapsed="1"/>
    <col min="21" max="16384" width="9.140625" style="518"/>
  </cols>
  <sheetData>
    <row r="5" spans="2:19" s="91" customFormat="1" ht="12.75" customHeight="1" thickBot="1" x14ac:dyDescent="0.25">
      <c r="B5" s="788"/>
      <c r="C5" s="788"/>
      <c r="D5" s="788"/>
      <c r="E5" s="788"/>
      <c r="F5" s="788"/>
      <c r="G5" s="788"/>
      <c r="H5" s="788"/>
      <c r="I5" s="788"/>
      <c r="J5" s="788"/>
      <c r="K5" s="788"/>
      <c r="L5" s="788"/>
      <c r="M5" s="788"/>
      <c r="N5" s="788"/>
      <c r="O5" s="788"/>
      <c r="P5" s="788"/>
    </row>
    <row r="6" spans="2:19" ht="13.15" customHeight="1" thickTop="1" x14ac:dyDescent="0.3">
      <c r="B6" s="819" t="s">
        <v>1096</v>
      </c>
      <c r="C6" s="819"/>
      <c r="D6" s="819"/>
      <c r="E6" s="819"/>
      <c r="F6" s="819"/>
      <c r="G6" s="819"/>
      <c r="H6" s="819"/>
      <c r="P6" s="531"/>
    </row>
    <row r="7" spans="2:19" ht="12.75" customHeight="1" x14ac:dyDescent="0.3">
      <c r="B7" s="819"/>
      <c r="C7" s="819"/>
      <c r="D7" s="819"/>
      <c r="E7" s="819"/>
      <c r="F7" s="819"/>
      <c r="G7" s="819"/>
      <c r="H7" s="819"/>
      <c r="P7" s="531"/>
    </row>
    <row r="9" spans="2:19" s="517" customFormat="1" ht="15" x14ac:dyDescent="0.2">
      <c r="B9" s="519" t="s">
        <v>934</v>
      </c>
      <c r="C9" s="527"/>
      <c r="D9" s="528"/>
      <c r="E9" s="238" t="s">
        <v>698</v>
      </c>
      <c r="F9" s="518"/>
      <c r="G9" s="518"/>
    </row>
    <row r="10" spans="2:19" s="517" customFormat="1" ht="15" x14ac:dyDescent="0.2"/>
    <row r="11" spans="2:19" s="517" customFormat="1" ht="15" x14ac:dyDescent="0.2">
      <c r="E11" s="822" t="s">
        <v>2137</v>
      </c>
      <c r="F11" s="823"/>
      <c r="G11" s="824"/>
      <c r="M11" s="570" t="s">
        <v>398</v>
      </c>
      <c r="N11" s="571"/>
      <c r="O11" s="572"/>
    </row>
    <row r="12" spans="2:19" s="517" customFormat="1" ht="15" x14ac:dyDescent="0.2">
      <c r="E12" s="831" t="s">
        <v>2100</v>
      </c>
      <c r="F12" s="832"/>
      <c r="G12" s="833"/>
      <c r="M12" s="573" t="s">
        <v>442</v>
      </c>
      <c r="O12" s="574"/>
      <c r="R12" s="517" t="s">
        <v>698</v>
      </c>
      <c r="S12" s="517">
        <f>IF(AND(P2Q1="AC",p2q5="N"),1,0)</f>
        <v>1</v>
      </c>
    </row>
    <row r="13" spans="2:19" s="517" customFormat="1" ht="15" x14ac:dyDescent="0.2">
      <c r="E13" s="828"/>
      <c r="F13" s="829"/>
      <c r="G13" s="830"/>
      <c r="M13" s="638" t="s">
        <v>2071</v>
      </c>
      <c r="O13" s="574"/>
      <c r="R13" s="517" t="s">
        <v>702</v>
      </c>
      <c r="S13" s="579">
        <v>0</v>
      </c>
    </row>
    <row r="14" spans="2:19" s="517" customFormat="1" ht="15" x14ac:dyDescent="0.2">
      <c r="E14" s="834" t="s">
        <v>2101</v>
      </c>
      <c r="F14" s="835"/>
      <c r="G14" s="836"/>
      <c r="M14" s="573"/>
      <c r="O14" s="574"/>
      <c r="R14" s="517" t="s">
        <v>701</v>
      </c>
      <c r="S14" s="517">
        <f>IF(AND(P2Q1="AU",P2Q3="N"),1,0)</f>
        <v>0</v>
      </c>
    </row>
    <row r="15" spans="2:19" s="517" customFormat="1" ht="15" x14ac:dyDescent="0.2">
      <c r="E15" s="747" t="s">
        <v>817</v>
      </c>
      <c r="F15" s="665"/>
      <c r="G15" s="576" t="str">
        <f>IF(AND(P2Q1="AC",AND(p2q4&lt;&gt;"Above",p2q4&lt;&gt;"Below")),"Y","N")</f>
        <v>N</v>
      </c>
      <c r="M15" s="575"/>
      <c r="O15" s="574"/>
      <c r="R15" s="517" t="s">
        <v>697</v>
      </c>
      <c r="S15" s="579">
        <v>0</v>
      </c>
    </row>
    <row r="16" spans="2:19" s="517" customFormat="1" ht="15" x14ac:dyDescent="0.2">
      <c r="E16" s="840" t="s">
        <v>856</v>
      </c>
      <c r="F16" s="841"/>
      <c r="G16" s="842"/>
      <c r="M16" s="825" t="s">
        <v>859</v>
      </c>
      <c r="N16" s="826"/>
      <c r="O16" s="827"/>
      <c r="R16" s="517" t="s">
        <v>699</v>
      </c>
      <c r="S16" s="579">
        <v>0</v>
      </c>
    </row>
    <row r="17" spans="5:19" s="517" customFormat="1" ht="18.75" customHeight="1" x14ac:dyDescent="0.2">
      <c r="E17" s="575"/>
      <c r="G17" s="574"/>
      <c r="M17" s="846" t="s">
        <v>1514</v>
      </c>
      <c r="N17" s="846"/>
      <c r="O17" s="846"/>
      <c r="R17" s="517" t="s">
        <v>691</v>
      </c>
      <c r="S17" s="517">
        <f>IF(P2Q1="AM",1,0)</f>
        <v>0</v>
      </c>
    </row>
    <row r="18" spans="5:19" s="517" customFormat="1" ht="15" x14ac:dyDescent="0.2">
      <c r="E18" s="575"/>
      <c r="G18" s="574"/>
      <c r="R18" s="517" t="s">
        <v>700</v>
      </c>
      <c r="S18" s="579">
        <v>0</v>
      </c>
    </row>
    <row r="19" spans="5:19" s="517" customFormat="1" ht="15" x14ac:dyDescent="0.2">
      <c r="E19" s="575"/>
      <c r="G19" s="574"/>
      <c r="M19" s="570" t="s">
        <v>397</v>
      </c>
      <c r="N19" s="571"/>
      <c r="O19" s="572"/>
      <c r="R19" s="517" t="s">
        <v>1883</v>
      </c>
      <c r="S19" s="579">
        <v>0</v>
      </c>
    </row>
    <row r="20" spans="5:19" s="517" customFormat="1" ht="15" customHeight="1" x14ac:dyDescent="0.2">
      <c r="E20" s="575"/>
      <c r="G20" s="574"/>
      <c r="M20" s="573" t="s">
        <v>860</v>
      </c>
      <c r="O20" s="574"/>
      <c r="S20" s="650">
        <f>SUM(S12:S19)</f>
        <v>1</v>
      </c>
    </row>
    <row r="21" spans="5:19" s="517" customFormat="1" ht="15" x14ac:dyDescent="0.2">
      <c r="E21" s="575"/>
      <c r="G21" s="574"/>
      <c r="M21" s="637" t="s">
        <v>2072</v>
      </c>
      <c r="O21" s="574"/>
    </row>
    <row r="22" spans="5:19" s="517" customFormat="1" ht="15" x14ac:dyDescent="0.2">
      <c r="E22" s="575"/>
      <c r="G22" s="574"/>
      <c r="M22" s="834" t="s">
        <v>2101</v>
      </c>
      <c r="N22" s="835"/>
      <c r="O22" s="836"/>
    </row>
    <row r="23" spans="5:19" s="517" customFormat="1" ht="15" x14ac:dyDescent="0.2">
      <c r="E23" s="575"/>
      <c r="G23" s="574"/>
      <c r="M23" s="577"/>
      <c r="O23" s="576" t="str">
        <f>IF(AND(P2Q1="AU",AND(P2Q2&lt;&gt;"Above",P2Q2&lt;&gt;"Below")),"Y","N")</f>
        <v>N</v>
      </c>
    </row>
    <row r="24" spans="5:19" s="517" customFormat="1" ht="15.6" customHeight="1" x14ac:dyDescent="0.2">
      <c r="E24" s="575"/>
      <c r="G24" s="574"/>
      <c r="M24" s="825" t="s">
        <v>856</v>
      </c>
      <c r="N24" s="826"/>
      <c r="O24" s="827"/>
    </row>
    <row r="25" spans="5:19" s="517" customFormat="1" ht="15.75" x14ac:dyDescent="0.2">
      <c r="E25" s="837" t="s">
        <v>2138</v>
      </c>
      <c r="F25" s="838"/>
      <c r="G25" s="839"/>
      <c r="M25" s="846" t="s">
        <v>1511</v>
      </c>
      <c r="N25" s="846"/>
      <c r="O25" s="846"/>
    </row>
    <row r="26" spans="5:19" s="517" customFormat="1" ht="15" x14ac:dyDescent="0.2">
      <c r="E26" s="575"/>
      <c r="G26" s="574"/>
    </row>
    <row r="27" spans="5:19" s="517" customFormat="1" ht="15" x14ac:dyDescent="0.2">
      <c r="E27" s="672" t="s">
        <v>2103</v>
      </c>
      <c r="G27" s="574"/>
    </row>
    <row r="28" spans="5:19" s="517" customFormat="1" ht="15" x14ac:dyDescent="0.2">
      <c r="E28" s="575" t="s">
        <v>2102</v>
      </c>
      <c r="G28" s="574"/>
    </row>
    <row r="29" spans="5:19" s="517" customFormat="1" ht="15" x14ac:dyDescent="0.2">
      <c r="E29" s="575" t="s">
        <v>2139</v>
      </c>
      <c r="G29" s="574"/>
    </row>
    <row r="30" spans="5:19" s="517" customFormat="1" ht="15" x14ac:dyDescent="0.2">
      <c r="E30" s="575" t="s">
        <v>2140</v>
      </c>
      <c r="G30" s="574"/>
    </row>
    <row r="31" spans="5:19" s="517" customFormat="1" ht="15" x14ac:dyDescent="0.2">
      <c r="E31" s="575" t="s">
        <v>2141</v>
      </c>
      <c r="G31" s="574"/>
    </row>
    <row r="32" spans="5:19" s="517" customFormat="1" ht="15" x14ac:dyDescent="0.2">
      <c r="E32" s="575"/>
      <c r="G32" s="574"/>
    </row>
    <row r="33" spans="5:7" s="517" customFormat="1" ht="15.75" x14ac:dyDescent="0.2">
      <c r="E33" s="843" t="s">
        <v>666</v>
      </c>
      <c r="F33" s="844"/>
      <c r="G33" s="845"/>
    </row>
    <row r="34" spans="5:7" s="517" customFormat="1" ht="15" x14ac:dyDescent="0.2"/>
    <row r="35" spans="5:7" s="517" customFormat="1" ht="15" x14ac:dyDescent="0.2"/>
    <row r="36" spans="5:7" s="517" customFormat="1" ht="15" x14ac:dyDescent="0.2"/>
    <row r="37" spans="5:7" s="517" customFormat="1" ht="15" x14ac:dyDescent="0.2"/>
    <row r="38" spans="5:7" s="517" customFormat="1" ht="15" x14ac:dyDescent="0.2"/>
    <row r="39" spans="5:7" s="517" customFormat="1" ht="15" x14ac:dyDescent="0.2"/>
    <row r="40" spans="5:7" s="517" customFormat="1" ht="15" x14ac:dyDescent="0.2"/>
    <row r="41" spans="5:7" s="517" customFormat="1" ht="15" x14ac:dyDescent="0.2"/>
    <row r="42" spans="5:7" s="517" customFormat="1" ht="15" x14ac:dyDescent="0.2"/>
    <row r="43" spans="5:7" s="517" customFormat="1" ht="15" x14ac:dyDescent="0.2"/>
    <row r="44" spans="5:7" s="517" customFormat="1" ht="15" x14ac:dyDescent="0.2"/>
    <row r="45" spans="5:7" s="517" customFormat="1" ht="15" x14ac:dyDescent="0.2"/>
    <row r="46" spans="5:7" s="517" customFormat="1" ht="15" x14ac:dyDescent="0.2"/>
    <row r="47" spans="5:7" s="517" customFormat="1" ht="15" x14ac:dyDescent="0.2"/>
    <row r="48" spans="5:7" s="517" customFormat="1" ht="15" x14ac:dyDescent="0.2"/>
    <row r="49" spans="9:11" s="517" customFormat="1" ht="15" x14ac:dyDescent="0.2"/>
    <row r="50" spans="9:11" s="517" customFormat="1" ht="15" x14ac:dyDescent="0.2"/>
    <row r="51" spans="9:11" s="517" customFormat="1" ht="15" x14ac:dyDescent="0.2"/>
    <row r="52" spans="9:11" s="517" customFormat="1" ht="15" x14ac:dyDescent="0.2"/>
    <row r="53" spans="9:11" s="517" customFormat="1" ht="15" x14ac:dyDescent="0.2"/>
    <row r="54" spans="9:11" s="517" customFormat="1" ht="15" x14ac:dyDescent="0.2"/>
    <row r="55" spans="9:11" s="517" customFormat="1" ht="15" x14ac:dyDescent="0.2"/>
    <row r="56" spans="9:11" s="517" customFormat="1" ht="15" x14ac:dyDescent="0.2"/>
    <row r="57" spans="9:11" s="517" customFormat="1" ht="15" x14ac:dyDescent="0.2"/>
    <row r="58" spans="9:11" s="517" customFormat="1" ht="15" x14ac:dyDescent="0.2"/>
    <row r="59" spans="9:11" s="517" customFormat="1" ht="15" x14ac:dyDescent="0.2"/>
    <row r="60" spans="9:11" s="517" customFormat="1" ht="15" x14ac:dyDescent="0.2"/>
    <row r="61" spans="9:11" s="517" customFormat="1" ht="15" x14ac:dyDescent="0.2"/>
    <row r="62" spans="9:11" s="517" customFormat="1" ht="15" x14ac:dyDescent="0.2">
      <c r="I62" s="529"/>
      <c r="K62" s="529"/>
    </row>
    <row r="63" spans="9:11" s="517" customFormat="1" ht="15" x14ac:dyDescent="0.2">
      <c r="I63" s="529"/>
      <c r="K63" s="529"/>
    </row>
    <row r="64" spans="9:11" s="517" customFormat="1" ht="15" x14ac:dyDescent="0.2">
      <c r="I64" s="529"/>
      <c r="K64" s="529"/>
    </row>
    <row r="65" spans="3:7" ht="15" x14ac:dyDescent="0.2">
      <c r="C65" s="517"/>
      <c r="D65" s="517"/>
      <c r="E65" s="517"/>
      <c r="F65" s="517"/>
      <c r="G65" s="517"/>
    </row>
    <row r="66" spans="3:7" ht="15" x14ac:dyDescent="0.2">
      <c r="C66" s="517"/>
      <c r="D66" s="517"/>
      <c r="E66" s="517"/>
      <c r="F66" s="517"/>
      <c r="G66" s="517"/>
    </row>
  </sheetData>
  <sheetProtection sheet="1" objects="1" scenarios="1" selectLockedCells="1"/>
  <dataConsolidate/>
  <mergeCells count="13">
    <mergeCell ref="E25:G25"/>
    <mergeCell ref="E16:G16"/>
    <mergeCell ref="M22:O22"/>
    <mergeCell ref="E33:G33"/>
    <mergeCell ref="M17:O17"/>
    <mergeCell ref="M25:O25"/>
    <mergeCell ref="B6:H7"/>
    <mergeCell ref="E11:G11"/>
    <mergeCell ref="M16:O16"/>
    <mergeCell ref="M24:O24"/>
    <mergeCell ref="E13:G13"/>
    <mergeCell ref="E12:G12"/>
    <mergeCell ref="E14:G14"/>
  </mergeCells>
  <phoneticPr fontId="7" type="noConversion"/>
  <conditionalFormatting sqref="M16:O16">
    <cfRule type="expression" dxfId="40" priority="16" stopIfTrue="1">
      <formula>+p0q1&lt;670</formula>
    </cfRule>
  </conditionalFormatting>
  <conditionalFormatting sqref="M24:O24 E16">
    <cfRule type="expression" dxfId="39" priority="24" stopIfTrue="1">
      <formula>+p0q1&lt;310</formula>
    </cfRule>
  </conditionalFormatting>
  <conditionalFormatting sqref="M23">
    <cfRule type="expression" dxfId="38" priority="25" stopIfTrue="1">
      <formula>P2Q1="AU"</formula>
    </cfRule>
  </conditionalFormatting>
  <conditionalFormatting sqref="E15">
    <cfRule type="expression" dxfId="37" priority="8" stopIfTrue="1">
      <formula>P2Q1="AC"</formula>
    </cfRule>
  </conditionalFormatting>
  <conditionalFormatting sqref="M22:O22">
    <cfRule type="expression" dxfId="36" priority="2" stopIfTrue="1">
      <formula>AND(+P2Q1="AU",+P2Q3="Y")</formula>
    </cfRule>
  </conditionalFormatting>
  <conditionalFormatting sqref="E14:G14">
    <cfRule type="expression" dxfId="35" priority="1" stopIfTrue="1">
      <formula>AND(+P2Q1="AC",+p2q5="Y")</formula>
    </cfRule>
  </conditionalFormatting>
  <dataValidations count="2">
    <dataValidation type="list" allowBlank="1" showInputMessage="1" showErrorMessage="1" sqref="E15 M23" xr:uid="{00000000-0002-0000-0300-000000000000}">
      <formula1>AU_Orientation</formula1>
    </dataValidation>
    <dataValidation type="list" allowBlank="1" showInputMessage="1" showErrorMessage="1" sqref="E9" xr:uid="{00000000-0002-0000-0300-000001000000}">
      <formula1>HeadDriveVersion</formula1>
    </dataValidation>
  </dataValidations>
  <pageMargins left="0.75" right="0.75" top="0.49" bottom="0.5" header="0.5" footer="0.5"/>
  <pageSetup scale="53" orientation="portrait" r:id="rId1"/>
  <headerFooter alignWithMargins="0">
    <oddFooter>&amp;L&amp;Z&amp;F&amp;R&amp;D</oddFooter>
  </headerFooter>
  <drawing r:id="rId2"/>
  <legacyDrawing r:id="rId3"/>
  <controls>
    <mc:AlternateContent xmlns:mc="http://schemas.openxmlformats.org/markup-compatibility/2006">
      <mc:Choice Requires="x14">
        <control shapeId="3111" r:id="rId4" name="CommandButton1">
          <controlPr defaultSize="0" autoLine="0" r:id="rId5">
            <anchor moveWithCells="1">
              <from>
                <xdr:col>10</xdr:col>
                <xdr:colOff>371475</xdr:colOff>
                <xdr:row>1</xdr:row>
                <xdr:rowOff>133350</xdr:rowOff>
              </from>
              <to>
                <xdr:col>10</xdr:col>
                <xdr:colOff>1066800</xdr:colOff>
                <xdr:row>3</xdr:row>
                <xdr:rowOff>123825</xdr:rowOff>
              </to>
            </anchor>
          </controlPr>
        </control>
      </mc:Choice>
      <mc:Fallback>
        <control shapeId="3111" r:id="rId4" name="CommandButton1"/>
      </mc:Fallback>
    </mc:AlternateContent>
    <mc:AlternateContent xmlns:mc="http://schemas.openxmlformats.org/markup-compatibility/2006">
      <mc:Choice Requires="x14">
        <control shapeId="3096" r:id="rId6" name="CommandButton21">
          <controlPr defaultSize="0" autoLine="0" r:id="rId7">
            <anchor moveWithCells="1">
              <from>
                <xdr:col>10</xdr:col>
                <xdr:colOff>1171575</xdr:colOff>
                <xdr:row>1</xdr:row>
                <xdr:rowOff>133350</xdr:rowOff>
              </from>
              <to>
                <xdr:col>10</xdr:col>
                <xdr:colOff>1866900</xdr:colOff>
                <xdr:row>3</xdr:row>
                <xdr:rowOff>123825</xdr:rowOff>
              </to>
            </anchor>
          </controlPr>
        </control>
      </mc:Choice>
      <mc:Fallback>
        <control shapeId="3096" r:id="rId6" name="CommandButton2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pageSetUpPr fitToPage="1"/>
  </sheetPr>
  <dimension ref="A5:AW39"/>
  <sheetViews>
    <sheetView showOutlineSymbols="0" zoomScale="95" zoomScaleNormal="95" workbookViewId="0">
      <selection activeCell="I16" sqref="I16:J16"/>
    </sheetView>
  </sheetViews>
  <sheetFormatPr defaultRowHeight="12.75" outlineLevelCol="1" x14ac:dyDescent="0.2"/>
  <cols>
    <col min="1" max="1" width="5.5703125" style="518" customWidth="1"/>
    <col min="2" max="2" width="6.42578125" style="518" bestFit="1" customWidth="1"/>
    <col min="3" max="3" width="8.7109375" style="518" bestFit="1" customWidth="1"/>
    <col min="4" max="4" width="6.5703125" style="518" bestFit="1" customWidth="1"/>
    <col min="5" max="6" width="14" style="518" customWidth="1"/>
    <col min="7" max="7" width="21.85546875" style="518" bestFit="1" customWidth="1"/>
    <col min="8" max="8" width="3.140625" style="518" customWidth="1"/>
    <col min="9" max="9" width="8.7109375" style="518" customWidth="1"/>
    <col min="10" max="10" width="8.28515625" style="518" bestFit="1" customWidth="1"/>
    <col min="11" max="11" width="6" style="518" customWidth="1"/>
    <col min="12" max="12" width="15.85546875" style="518" bestFit="1" customWidth="1"/>
    <col min="13" max="13" width="5.42578125" style="518" customWidth="1"/>
    <col min="14" max="16" width="4.28515625" style="518" hidden="1" customWidth="1" outlineLevel="1"/>
    <col min="17" max="17" width="5.85546875" style="518" hidden="1" customWidth="1" outlineLevel="1"/>
    <col min="18" max="18" width="4.28515625" style="518" hidden="1" customWidth="1" outlineLevel="1"/>
    <col min="19" max="19" width="4" style="518" hidden="1" customWidth="1" outlineLevel="1"/>
    <col min="20" max="20" width="5" style="518" hidden="1" customWidth="1" outlineLevel="1"/>
    <col min="21" max="21" width="4" style="518" hidden="1" customWidth="1" outlineLevel="1"/>
    <col min="22" max="23" width="4.5703125" style="518" hidden="1" customWidth="1" outlineLevel="1"/>
    <col min="24" max="24" width="8.140625" style="518" hidden="1" customWidth="1" outlineLevel="1"/>
    <col min="25" max="25" width="6.42578125" style="518" hidden="1" customWidth="1" outlineLevel="1"/>
    <col min="26" max="26" width="6.85546875" style="518" hidden="1" customWidth="1" outlineLevel="1"/>
    <col min="27" max="27" width="5.7109375" style="518" hidden="1" customWidth="1" outlineLevel="1"/>
    <col min="28" max="28" width="6.7109375" style="518" hidden="1" customWidth="1" outlineLevel="1"/>
    <col min="29" max="29" width="3.28515625" style="518" hidden="1" customWidth="1" outlineLevel="1"/>
    <col min="30" max="36" width="3.42578125" style="518" hidden="1" customWidth="1" outlineLevel="1"/>
    <col min="37" max="37" width="6.42578125" style="518" hidden="1" customWidth="1" outlineLevel="1"/>
    <col min="38" max="38" width="7" style="518" hidden="1" customWidth="1" outlineLevel="1"/>
    <col min="39" max="39" width="4.5703125" style="518" hidden="1" customWidth="1" outlineLevel="1"/>
    <col min="40" max="41" width="3.42578125" style="518" hidden="1" customWidth="1" outlineLevel="1"/>
    <col min="42" max="42" width="4.85546875" style="518" hidden="1" customWidth="1" outlineLevel="1"/>
    <col min="43" max="43" width="6.5703125" style="518" hidden="1" customWidth="1" outlineLevel="1"/>
    <col min="44" max="44" width="8.7109375" style="518" hidden="1" customWidth="1" outlineLevel="1"/>
    <col min="45" max="45" width="7.28515625" style="518" hidden="1" customWidth="1" outlineLevel="1"/>
    <col min="46" max="46" width="8.28515625" style="518" hidden="1" customWidth="1" outlineLevel="1"/>
    <col min="47" max="47" width="14.85546875" style="518" hidden="1" customWidth="1" outlineLevel="1"/>
    <col min="48" max="48" width="9.140625" style="518" collapsed="1"/>
    <col min="49" max="16384" width="9.140625" style="518"/>
  </cols>
  <sheetData>
    <row r="5" spans="2:25" s="91" customFormat="1" ht="12.75" customHeight="1" thickBot="1" x14ac:dyDescent="0.25">
      <c r="B5" s="788"/>
      <c r="C5" s="788"/>
      <c r="D5" s="788"/>
      <c r="E5" s="788"/>
      <c r="F5" s="788"/>
      <c r="G5" s="788"/>
      <c r="H5" s="788"/>
      <c r="I5" s="788"/>
      <c r="J5" s="788"/>
      <c r="K5" s="788"/>
      <c r="L5" s="788"/>
      <c r="M5" s="788"/>
    </row>
    <row r="6" spans="2:25" ht="13.15" customHeight="1" thickTop="1" x14ac:dyDescent="0.2">
      <c r="B6" s="819" t="s">
        <v>2075</v>
      </c>
      <c r="C6" s="819"/>
      <c r="D6" s="819"/>
      <c r="E6" s="819"/>
      <c r="F6" s="819"/>
      <c r="G6" s="819"/>
    </row>
    <row r="7" spans="2:25" ht="12.75" customHeight="1" x14ac:dyDescent="0.2">
      <c r="B7" s="819"/>
      <c r="C7" s="819"/>
      <c r="D7" s="819"/>
      <c r="E7" s="819"/>
      <c r="F7" s="819"/>
      <c r="G7" s="819"/>
    </row>
    <row r="9" spans="2:25" s="517" customFormat="1" ht="15.6" customHeight="1" x14ac:dyDescent="0.2">
      <c r="B9" s="628" t="s">
        <v>912</v>
      </c>
      <c r="C9" s="841" t="s">
        <v>869</v>
      </c>
      <c r="D9" s="838"/>
      <c r="E9" s="838"/>
      <c r="F9" s="839"/>
      <c r="G9" s="238" t="s">
        <v>389</v>
      </c>
      <c r="H9" s="518"/>
      <c r="I9" s="851" t="str">
        <f>IF(P6Q4="Yes","Caution: maximum continuous temperature for UHMW is 140 °F, Aluminum is 200 °F"," ")</f>
        <v xml:space="preserve"> </v>
      </c>
      <c r="J9" s="851"/>
      <c r="K9" s="851"/>
      <c r="N9" s="852" t="s">
        <v>683</v>
      </c>
      <c r="O9" s="852" t="s">
        <v>685</v>
      </c>
      <c r="P9" s="852" t="s">
        <v>682</v>
      </c>
      <c r="Q9" s="852" t="s">
        <v>686</v>
      </c>
      <c r="R9" s="852" t="s">
        <v>687</v>
      </c>
      <c r="S9" s="852" t="s">
        <v>688</v>
      </c>
      <c r="T9" s="852" t="s">
        <v>689</v>
      </c>
      <c r="U9" s="852" t="s">
        <v>1909</v>
      </c>
      <c r="V9" s="852"/>
      <c r="Y9" s="852" t="s">
        <v>684</v>
      </c>
    </row>
    <row r="10" spans="2:25" s="517" customFormat="1" ht="15.75" x14ac:dyDescent="0.2">
      <c r="B10" s="628" t="s">
        <v>914</v>
      </c>
      <c r="C10" s="841" t="s">
        <v>870</v>
      </c>
      <c r="D10" s="838"/>
      <c r="E10" s="838"/>
      <c r="F10" s="839"/>
      <c r="G10" s="238" t="s">
        <v>389</v>
      </c>
      <c r="I10" s="851"/>
      <c r="J10" s="851"/>
      <c r="K10" s="851"/>
      <c r="N10" s="852"/>
      <c r="O10" s="852"/>
      <c r="P10" s="852"/>
      <c r="Q10" s="852"/>
      <c r="R10" s="852"/>
      <c r="S10" s="852"/>
      <c r="T10" s="852"/>
      <c r="U10" s="852"/>
      <c r="V10" s="852"/>
      <c r="Y10" s="852"/>
    </row>
    <row r="11" spans="2:25" s="517" customFormat="1" ht="15.75" x14ac:dyDescent="0.2">
      <c r="B11" s="628" t="s">
        <v>915</v>
      </c>
      <c r="C11" s="841" t="s">
        <v>873</v>
      </c>
      <c r="D11" s="838"/>
      <c r="E11" s="838"/>
      <c r="F11" s="839"/>
      <c r="G11" s="238" t="s">
        <v>389</v>
      </c>
      <c r="I11" s="851"/>
      <c r="J11" s="851"/>
      <c r="K11" s="851"/>
      <c r="N11" s="852"/>
      <c r="O11" s="852"/>
      <c r="P11" s="852"/>
      <c r="Q11" s="852"/>
      <c r="R11" s="852"/>
      <c r="S11" s="852"/>
      <c r="T11" s="852"/>
      <c r="U11" s="852"/>
      <c r="V11" s="852"/>
      <c r="Y11" s="852"/>
    </row>
    <row r="12" spans="2:25" s="517" customFormat="1" ht="15.6" customHeight="1" x14ac:dyDescent="0.2">
      <c r="B12" s="628" t="s">
        <v>916</v>
      </c>
      <c r="C12" s="841" t="s">
        <v>874</v>
      </c>
      <c r="D12" s="838"/>
      <c r="E12" s="838"/>
      <c r="F12" s="839"/>
      <c r="G12" s="238" t="s">
        <v>389</v>
      </c>
      <c r="I12" s="851"/>
      <c r="J12" s="851"/>
      <c r="K12" s="851"/>
      <c r="N12" s="852"/>
      <c r="O12" s="852"/>
      <c r="P12" s="852"/>
      <c r="Q12" s="852"/>
      <c r="R12" s="852"/>
      <c r="S12" s="852"/>
      <c r="T12" s="852"/>
      <c r="U12" s="852"/>
      <c r="V12" s="852"/>
      <c r="Y12" s="852"/>
    </row>
    <row r="13" spans="2:25" s="517" customFormat="1" ht="15" x14ac:dyDescent="0.2">
      <c r="C13" s="829" t="s">
        <v>878</v>
      </c>
      <c r="D13" s="829"/>
      <c r="E13" s="829"/>
      <c r="F13" s="830"/>
      <c r="G13" s="627">
        <v>68</v>
      </c>
      <c r="I13" s="851"/>
      <c r="J13" s="851"/>
      <c r="K13" s="851"/>
      <c r="N13" s="852"/>
      <c r="O13" s="852"/>
      <c r="P13" s="852"/>
      <c r="Q13" s="852"/>
      <c r="R13" s="852"/>
      <c r="S13" s="852"/>
      <c r="T13" s="852"/>
      <c r="U13" s="852"/>
      <c r="V13" s="852"/>
      <c r="Y13" s="852"/>
    </row>
    <row r="14" spans="2:25" s="517" customFormat="1" ht="15.75" hidden="1" x14ac:dyDescent="0.2">
      <c r="B14" s="628" t="s">
        <v>917</v>
      </c>
      <c r="C14" s="841" t="s">
        <v>875</v>
      </c>
      <c r="D14" s="838"/>
      <c r="E14" s="838"/>
      <c r="F14" s="838"/>
      <c r="G14" s="238" t="s">
        <v>389</v>
      </c>
      <c r="I14" s="851"/>
      <c r="J14" s="851"/>
      <c r="K14" s="851"/>
      <c r="N14" s="852"/>
      <c r="O14" s="852"/>
      <c r="P14" s="852"/>
      <c r="Q14" s="852"/>
      <c r="R14" s="852"/>
      <c r="S14" s="852"/>
      <c r="T14" s="852"/>
      <c r="U14" s="852"/>
      <c r="V14" s="852"/>
      <c r="Y14" s="852"/>
    </row>
    <row r="15" spans="2:25" s="517" customFormat="1" ht="15.75" hidden="1" x14ac:dyDescent="0.2">
      <c r="B15" s="628" t="s">
        <v>918</v>
      </c>
      <c r="C15" s="841" t="s">
        <v>876</v>
      </c>
      <c r="D15" s="838"/>
      <c r="E15" s="838"/>
      <c r="F15" s="838"/>
      <c r="G15" s="238" t="s">
        <v>389</v>
      </c>
      <c r="N15" s="852"/>
      <c r="O15" s="852"/>
      <c r="P15" s="852"/>
      <c r="Q15" s="852"/>
      <c r="R15" s="852"/>
      <c r="S15" s="852"/>
      <c r="T15" s="852"/>
      <c r="U15" s="852"/>
      <c r="V15" s="852"/>
      <c r="Y15" s="852"/>
    </row>
    <row r="16" spans="2:25" s="517" customFormat="1" ht="15.75" x14ac:dyDescent="0.2">
      <c r="B16" s="628" t="s">
        <v>917</v>
      </c>
      <c r="C16" s="841" t="s">
        <v>877</v>
      </c>
      <c r="D16" s="838"/>
      <c r="E16" s="838"/>
      <c r="F16" s="838"/>
      <c r="G16" s="238" t="s">
        <v>389</v>
      </c>
      <c r="I16" s="859" t="s">
        <v>2108</v>
      </c>
      <c r="J16" s="860"/>
      <c r="K16" s="863" t="s">
        <v>508</v>
      </c>
      <c r="L16" s="864"/>
      <c r="N16" s="852"/>
      <c r="O16" s="852"/>
      <c r="P16" s="852"/>
      <c r="Q16" s="852"/>
      <c r="R16" s="852"/>
      <c r="S16" s="852"/>
      <c r="T16" s="852"/>
      <c r="U16" s="852"/>
      <c r="V16" s="852"/>
      <c r="Y16" s="852"/>
    </row>
    <row r="17" spans="1:49" s="517" customFormat="1" ht="23.25" customHeight="1" x14ac:dyDescent="0.2">
      <c r="N17" s="852"/>
      <c r="O17" s="852"/>
      <c r="P17" s="852"/>
      <c r="Q17" s="852"/>
      <c r="R17" s="852"/>
      <c r="S17" s="852"/>
      <c r="T17" s="852"/>
      <c r="U17" s="852"/>
      <c r="V17" s="852"/>
      <c r="Y17" s="852"/>
    </row>
    <row r="18" spans="1:49" s="517" customFormat="1" ht="15.75" x14ac:dyDescent="0.2">
      <c r="B18" s="850" t="s">
        <v>479</v>
      </c>
      <c r="C18" s="850"/>
      <c r="D18" s="850"/>
      <c r="E18" s="848" t="s">
        <v>472</v>
      </c>
      <c r="F18" s="849"/>
      <c r="N18" s="856" t="s">
        <v>476</v>
      </c>
      <c r="O18" s="857"/>
      <c r="P18" s="857"/>
      <c r="Q18" s="857"/>
      <c r="R18" s="857"/>
      <c r="S18" s="857"/>
      <c r="T18" s="858"/>
      <c r="U18" s="856" t="s">
        <v>497</v>
      </c>
      <c r="V18" s="858"/>
      <c r="W18" s="862" t="s">
        <v>483</v>
      </c>
      <c r="X18" s="862"/>
      <c r="Y18" s="73" t="s">
        <v>503</v>
      </c>
      <c r="Z18" s="231" t="s">
        <v>512</v>
      </c>
      <c r="AA18" s="231" t="s">
        <v>514</v>
      </c>
      <c r="AB18" s="86" t="s">
        <v>745</v>
      </c>
      <c r="AD18" s="854" t="s">
        <v>476</v>
      </c>
      <c r="AE18" s="861"/>
      <c r="AF18" s="861"/>
      <c r="AG18" s="861"/>
      <c r="AH18" s="861"/>
      <c r="AI18" s="861"/>
      <c r="AJ18" s="855"/>
      <c r="AK18" s="854" t="s">
        <v>500</v>
      </c>
      <c r="AL18" s="855"/>
      <c r="AM18" s="65" t="s">
        <v>473</v>
      </c>
      <c r="AN18" s="66"/>
      <c r="AO18" s="60"/>
      <c r="AP18" s="60" t="s">
        <v>487</v>
      </c>
      <c r="AR18" s="67" t="s">
        <v>354</v>
      </c>
    </row>
    <row r="19" spans="1:49" s="517" customFormat="1" ht="15" x14ac:dyDescent="0.2">
      <c r="B19" s="55" t="s">
        <v>485</v>
      </c>
      <c r="C19" s="55" t="s">
        <v>471</v>
      </c>
      <c r="D19" s="55" t="s">
        <v>484</v>
      </c>
      <c r="E19" s="49" t="s">
        <v>480</v>
      </c>
      <c r="F19" s="49" t="s">
        <v>458</v>
      </c>
      <c r="G19" s="64" t="s">
        <v>481</v>
      </c>
      <c r="N19" s="74" t="s">
        <v>493</v>
      </c>
      <c r="O19" s="74" t="s">
        <v>494</v>
      </c>
      <c r="P19" s="74" t="s">
        <v>495</v>
      </c>
      <c r="Q19" s="74" t="s">
        <v>501</v>
      </c>
      <c r="R19" s="74" t="s">
        <v>502</v>
      </c>
      <c r="S19" s="661" t="s">
        <v>2097</v>
      </c>
      <c r="T19" s="74" t="s">
        <v>496</v>
      </c>
      <c r="U19" s="75" t="s">
        <v>477</v>
      </c>
      <c r="V19" s="74" t="s">
        <v>478</v>
      </c>
      <c r="W19" s="76" t="s">
        <v>473</v>
      </c>
      <c r="X19" s="77" t="s">
        <v>474</v>
      </c>
      <c r="Y19" s="78" t="s">
        <v>482</v>
      </c>
      <c r="Z19" s="231" t="s">
        <v>357</v>
      </c>
      <c r="AA19" s="466" t="s">
        <v>515</v>
      </c>
      <c r="AB19" s="86" t="s">
        <v>666</v>
      </c>
      <c r="AD19" s="61" t="s">
        <v>493</v>
      </c>
      <c r="AE19" s="61" t="s">
        <v>494</v>
      </c>
      <c r="AF19" s="61" t="s">
        <v>495</v>
      </c>
      <c r="AG19" s="61" t="s">
        <v>501</v>
      </c>
      <c r="AH19" s="61" t="s">
        <v>502</v>
      </c>
      <c r="AI19" s="61" t="s">
        <v>504</v>
      </c>
      <c r="AJ19" s="61" t="s">
        <v>496</v>
      </c>
      <c r="AK19" s="61" t="s">
        <v>498</v>
      </c>
      <c r="AL19" s="61" t="s">
        <v>499</v>
      </c>
      <c r="AM19" s="61" t="s">
        <v>473</v>
      </c>
      <c r="AN19" s="61" t="s">
        <v>486</v>
      </c>
      <c r="AO19" s="62" t="s">
        <v>503</v>
      </c>
      <c r="AP19" s="62"/>
      <c r="AR19" s="68" t="s">
        <v>507</v>
      </c>
      <c r="AS19" s="259" t="s">
        <v>475</v>
      </c>
      <c r="AT19" s="260" t="s">
        <v>471</v>
      </c>
      <c r="AU19" s="260" t="s">
        <v>909</v>
      </c>
    </row>
    <row r="20" spans="1:49" s="517" customFormat="1" ht="15" x14ac:dyDescent="0.2">
      <c r="A20" s="629"/>
      <c r="B20" s="54">
        <f t="shared" ref="B20:B26" si="0">AP20</f>
        <v>1</v>
      </c>
      <c r="C20" s="469" t="s">
        <v>791</v>
      </c>
      <c r="D20" s="658" t="s">
        <v>1514</v>
      </c>
      <c r="E20" s="353" t="s">
        <v>463</v>
      </c>
      <c r="F20" s="353" t="s">
        <v>462</v>
      </c>
      <c r="G20" s="514" t="s">
        <v>1541</v>
      </c>
      <c r="K20" s="518"/>
      <c r="L20" s="518"/>
      <c r="M20" s="518"/>
      <c r="N20" s="54" t="s">
        <v>388</v>
      </c>
      <c r="O20" s="54" t="s">
        <v>389</v>
      </c>
      <c r="P20" s="54" t="s">
        <v>388</v>
      </c>
      <c r="Q20" s="61" t="s">
        <v>490</v>
      </c>
      <c r="R20" s="54" t="s">
        <v>389</v>
      </c>
      <c r="S20" s="54" t="s">
        <v>389</v>
      </c>
      <c r="T20" s="54" t="s">
        <v>467</v>
      </c>
      <c r="U20" s="69">
        <v>-4</v>
      </c>
      <c r="V20" s="69">
        <v>176</v>
      </c>
      <c r="W20" s="54">
        <v>9.5</v>
      </c>
      <c r="X20" s="54">
        <v>19</v>
      </c>
      <c r="Y20" s="85">
        <v>5</v>
      </c>
      <c r="Z20" s="58">
        <v>1.56</v>
      </c>
      <c r="AA20" s="58">
        <v>8</v>
      </c>
      <c r="AB20" s="467">
        <v>0.7</v>
      </c>
      <c r="AC20" s="518"/>
      <c r="AD20" s="54">
        <f t="shared" ref="AD20:AD26" si="1">IF(P6Q1="Yes",IF(N20="Yes",1,0),1)</f>
        <v>1</v>
      </c>
      <c r="AE20" s="54">
        <f t="shared" ref="AE20:AE26" si="2">IF(P6Q2="Yes",IF(O20="Yes",1,0),1)</f>
        <v>1</v>
      </c>
      <c r="AF20" s="54">
        <f t="shared" ref="AF20:AF26" si="3">IF(P6Q3="Yes",IF(P20="Yes",1,0),1)</f>
        <v>1</v>
      </c>
      <c r="AG20" s="660">
        <v>1</v>
      </c>
      <c r="AH20" s="660">
        <v>1</v>
      </c>
      <c r="AI20" s="59">
        <f>IF(P6Q7="Yes",IF(S20="Yes",1,0),1)</f>
        <v>1</v>
      </c>
      <c r="AJ20" s="54">
        <f t="shared" ref="AJ20:AJ26" si="4">IF(P6Q8="Yes",IF(T20="Yes",1,IF(T20="Light",IF(p0q3&lt;=5,1,0),0)),1)</f>
        <v>1</v>
      </c>
      <c r="AK20" s="54">
        <f t="shared" ref="AK20:AK26" si="5">IF(P6Q4="Yes",IF(P6Q4a&gt;=U20,1,0),1)</f>
        <v>1</v>
      </c>
      <c r="AL20" s="54">
        <f t="shared" ref="AL20:AL26" si="6">IF(P6Q4="Yes",IF(P6Q4a&lt;=V20,1,0),1)</f>
        <v>1</v>
      </c>
      <c r="AM20" s="54">
        <f t="shared" ref="AM20:AM26" si="7">IF(W20&lt;=MinDia,1,0)</f>
        <v>1</v>
      </c>
      <c r="AN20" s="54">
        <f t="shared" ref="AN20:AN26" si="8">IF(P1Q1="Head",1,IF(X20&lt;=40,1,0))</f>
        <v>1</v>
      </c>
      <c r="AO20" s="54">
        <f t="shared" ref="AO20:AO26" si="9">IF(P6Q9&lt;=Y20,1,0)</f>
        <v>1</v>
      </c>
      <c r="AP20" s="63">
        <f t="shared" ref="AP20:AP26" si="10">MIN(AD20:AO20)</f>
        <v>1</v>
      </c>
      <c r="AQ20" s="518"/>
      <c r="AR20" s="57" t="str">
        <f>IF(AP20=1,"46046"," ")</f>
        <v>46046</v>
      </c>
      <c r="AS20" s="47" t="s">
        <v>906</v>
      </c>
      <c r="AT20" s="469" t="s">
        <v>791</v>
      </c>
      <c r="AU20" s="54" t="s">
        <v>468</v>
      </c>
    </row>
    <row r="21" spans="1:49" s="517" customFormat="1" ht="15" x14ac:dyDescent="0.2">
      <c r="A21" s="629"/>
      <c r="B21" s="59">
        <f t="shared" si="0"/>
        <v>1</v>
      </c>
      <c r="C21" s="469" t="s">
        <v>621</v>
      </c>
      <c r="D21" s="658" t="s">
        <v>2077</v>
      </c>
      <c r="E21" s="354" t="s">
        <v>470</v>
      </c>
      <c r="F21" s="354" t="s">
        <v>462</v>
      </c>
      <c r="G21" s="513" t="s">
        <v>1790</v>
      </c>
      <c r="K21" s="629"/>
      <c r="L21" s="629"/>
      <c r="N21" s="54" t="s">
        <v>388</v>
      </c>
      <c r="O21" s="54" t="s">
        <v>389</v>
      </c>
      <c r="P21" s="54" t="s">
        <v>388</v>
      </c>
      <c r="Q21" s="515" t="s">
        <v>491</v>
      </c>
      <c r="R21" s="54" t="s">
        <v>389</v>
      </c>
      <c r="S21" s="54" t="s">
        <v>389</v>
      </c>
      <c r="T21" s="54" t="s">
        <v>389</v>
      </c>
      <c r="U21" s="69">
        <v>-30</v>
      </c>
      <c r="V21" s="69">
        <v>200</v>
      </c>
      <c r="W21" s="59">
        <v>6.4</v>
      </c>
      <c r="X21" s="54">
        <v>12.8</v>
      </c>
      <c r="Y21" s="85">
        <v>20</v>
      </c>
      <c r="Z21" s="58">
        <v>1.1200000000000001</v>
      </c>
      <c r="AA21" s="58">
        <v>4</v>
      </c>
      <c r="AB21" s="467">
        <v>0.82</v>
      </c>
      <c r="AC21" s="629"/>
      <c r="AD21" s="59">
        <f t="shared" si="1"/>
        <v>1</v>
      </c>
      <c r="AE21" s="59">
        <f t="shared" si="2"/>
        <v>1</v>
      </c>
      <c r="AF21" s="59">
        <f t="shared" si="3"/>
        <v>1</v>
      </c>
      <c r="AG21" s="660">
        <v>1</v>
      </c>
      <c r="AH21" s="660">
        <v>1</v>
      </c>
      <c r="AI21" s="59">
        <f>IF(P6Q7="Yes",IF(S21="Yes",1,0),1)</f>
        <v>1</v>
      </c>
      <c r="AJ21" s="59">
        <f t="shared" si="4"/>
        <v>1</v>
      </c>
      <c r="AK21" s="59">
        <f t="shared" si="5"/>
        <v>1</v>
      </c>
      <c r="AL21" s="59">
        <f t="shared" si="6"/>
        <v>1</v>
      </c>
      <c r="AM21" s="59">
        <f t="shared" si="7"/>
        <v>1</v>
      </c>
      <c r="AN21" s="59">
        <f t="shared" si="8"/>
        <v>1</v>
      </c>
      <c r="AO21" s="59">
        <f t="shared" si="9"/>
        <v>1</v>
      </c>
      <c r="AP21" s="63">
        <f t="shared" si="10"/>
        <v>1</v>
      </c>
      <c r="AQ21" s="629"/>
      <c r="AR21" s="57" t="str">
        <f>IF(AP21=1,"46061"," ")</f>
        <v>46061</v>
      </c>
      <c r="AS21" s="56"/>
      <c r="AT21" s="469" t="s">
        <v>621</v>
      </c>
      <c r="AU21" s="59"/>
    </row>
    <row r="22" spans="1:49" s="517" customFormat="1" ht="15" x14ac:dyDescent="0.2">
      <c r="A22" s="629"/>
      <c r="B22" s="59">
        <f t="shared" si="0"/>
        <v>1</v>
      </c>
      <c r="C22" s="94" t="s">
        <v>618</v>
      </c>
      <c r="D22" s="658" t="s">
        <v>1511</v>
      </c>
      <c r="E22" s="354" t="s">
        <v>460</v>
      </c>
      <c r="F22" s="354" t="s">
        <v>459</v>
      </c>
      <c r="G22" s="513" t="s">
        <v>1510</v>
      </c>
      <c r="H22" s="629"/>
      <c r="I22" s="629"/>
      <c r="J22" s="629"/>
      <c r="K22" s="629"/>
      <c r="L22" s="629"/>
      <c r="N22" s="54" t="s">
        <v>388</v>
      </c>
      <c r="O22" s="54" t="s">
        <v>389</v>
      </c>
      <c r="P22" s="54" t="s">
        <v>389</v>
      </c>
      <c r="Q22" s="54" t="s">
        <v>490</v>
      </c>
      <c r="R22" s="54" t="s">
        <v>389</v>
      </c>
      <c r="S22" s="54" t="s">
        <v>389</v>
      </c>
      <c r="T22" s="54" t="s">
        <v>389</v>
      </c>
      <c r="U22" s="69">
        <v>14</v>
      </c>
      <c r="V22" s="69">
        <v>176</v>
      </c>
      <c r="W22" s="59">
        <v>40</v>
      </c>
      <c r="X22" s="59">
        <v>70</v>
      </c>
      <c r="Y22" s="58">
        <v>10</v>
      </c>
      <c r="Z22" s="58">
        <v>2.2000000000000002</v>
      </c>
      <c r="AA22" s="58">
        <v>8</v>
      </c>
      <c r="AB22" s="467">
        <v>1.05</v>
      </c>
      <c r="AC22" s="629"/>
      <c r="AD22" s="59">
        <f t="shared" si="1"/>
        <v>1</v>
      </c>
      <c r="AE22" s="59">
        <f t="shared" si="2"/>
        <v>1</v>
      </c>
      <c r="AF22" s="59">
        <f t="shared" si="3"/>
        <v>1</v>
      </c>
      <c r="AG22" s="660">
        <v>1</v>
      </c>
      <c r="AH22" s="660">
        <v>1</v>
      </c>
      <c r="AI22" s="59">
        <f t="shared" ref="AI22:AI28" si="11">IF(P6Q7="Yes",IF(S22="Yes",1,0),1)</f>
        <v>1</v>
      </c>
      <c r="AJ22" s="59">
        <f t="shared" si="4"/>
        <v>1</v>
      </c>
      <c r="AK22" s="59">
        <f t="shared" si="5"/>
        <v>1</v>
      </c>
      <c r="AL22" s="59">
        <f t="shared" si="6"/>
        <v>1</v>
      </c>
      <c r="AM22" s="59">
        <f t="shared" si="7"/>
        <v>1</v>
      </c>
      <c r="AN22" s="59">
        <f t="shared" si="8"/>
        <v>1</v>
      </c>
      <c r="AO22" s="59">
        <f t="shared" si="9"/>
        <v>1</v>
      </c>
      <c r="AP22" s="63">
        <f t="shared" si="10"/>
        <v>1</v>
      </c>
      <c r="AQ22" s="629"/>
      <c r="AR22" s="57" t="str">
        <f>IF(AP22=1,"48301"," ")</f>
        <v>48301</v>
      </c>
      <c r="AS22" s="56" t="s">
        <v>908</v>
      </c>
      <c r="AT22" s="94" t="s">
        <v>618</v>
      </c>
      <c r="AU22" s="59" t="s">
        <v>465</v>
      </c>
    </row>
    <row r="23" spans="1:49" s="517" customFormat="1" ht="15" x14ac:dyDescent="0.2">
      <c r="A23" s="629"/>
      <c r="B23" s="59">
        <f t="shared" si="0"/>
        <v>1</v>
      </c>
      <c r="C23" s="446" t="s">
        <v>622</v>
      </c>
      <c r="D23" s="658" t="s">
        <v>1511</v>
      </c>
      <c r="E23" s="354" t="s">
        <v>871</v>
      </c>
      <c r="F23" s="354" t="s">
        <v>1788</v>
      </c>
      <c r="G23" s="513" t="s">
        <v>1789</v>
      </c>
      <c r="H23" s="629"/>
      <c r="I23" s="629"/>
      <c r="J23" s="629"/>
      <c r="K23" s="629"/>
      <c r="L23" s="629"/>
      <c r="N23" s="54" t="s">
        <v>388</v>
      </c>
      <c r="O23" s="54" t="s">
        <v>389</v>
      </c>
      <c r="P23" s="54" t="s">
        <v>389</v>
      </c>
      <c r="Q23" s="54" t="s">
        <v>490</v>
      </c>
      <c r="R23" s="54" t="s">
        <v>389</v>
      </c>
      <c r="S23" s="54" t="s">
        <v>389</v>
      </c>
      <c r="T23" s="54" t="s">
        <v>389</v>
      </c>
      <c r="U23" s="69">
        <v>14</v>
      </c>
      <c r="V23" s="69">
        <v>176</v>
      </c>
      <c r="W23" s="59">
        <v>50</v>
      </c>
      <c r="X23" s="59">
        <v>50</v>
      </c>
      <c r="Y23" s="85">
        <v>5</v>
      </c>
      <c r="Z23" s="58">
        <v>2.7</v>
      </c>
      <c r="AA23" s="58">
        <v>8</v>
      </c>
      <c r="AB23" s="467">
        <v>0.6</v>
      </c>
      <c r="AC23" s="629"/>
      <c r="AD23" s="59">
        <f t="shared" si="1"/>
        <v>1</v>
      </c>
      <c r="AE23" s="59">
        <f t="shared" si="2"/>
        <v>1</v>
      </c>
      <c r="AF23" s="59">
        <f t="shared" si="3"/>
        <v>1</v>
      </c>
      <c r="AG23" s="660">
        <v>1</v>
      </c>
      <c r="AH23" s="660">
        <v>1</v>
      </c>
      <c r="AI23" s="59">
        <f t="shared" si="11"/>
        <v>1</v>
      </c>
      <c r="AJ23" s="59">
        <f t="shared" si="4"/>
        <v>1</v>
      </c>
      <c r="AK23" s="59">
        <f t="shared" si="5"/>
        <v>1</v>
      </c>
      <c r="AL23" s="59">
        <f t="shared" si="6"/>
        <v>1</v>
      </c>
      <c r="AM23" s="59">
        <f t="shared" si="7"/>
        <v>1</v>
      </c>
      <c r="AN23" s="59">
        <f t="shared" si="8"/>
        <v>1</v>
      </c>
      <c r="AO23" s="59">
        <f t="shared" si="9"/>
        <v>1</v>
      </c>
      <c r="AP23" s="63">
        <f t="shared" si="10"/>
        <v>1</v>
      </c>
      <c r="AQ23" s="629"/>
      <c r="AR23" s="57" t="str">
        <f>IF(AP23=1,"48302"," ")</f>
        <v>48302</v>
      </c>
      <c r="AS23" s="56"/>
      <c r="AT23" s="446" t="s">
        <v>622</v>
      </c>
      <c r="AU23" s="59"/>
    </row>
    <row r="24" spans="1:49" s="517" customFormat="1" ht="15" x14ac:dyDescent="0.2">
      <c r="A24" s="629"/>
      <c r="B24" s="59">
        <f t="shared" si="0"/>
        <v>1</v>
      </c>
      <c r="C24" s="94" t="s">
        <v>623</v>
      </c>
      <c r="D24" s="658" t="s">
        <v>1511</v>
      </c>
      <c r="E24" s="354" t="s">
        <v>464</v>
      </c>
      <c r="F24" s="354" t="s">
        <v>461</v>
      </c>
      <c r="G24" s="513" t="s">
        <v>910</v>
      </c>
      <c r="H24" s="629"/>
      <c r="I24" s="629"/>
      <c r="J24" s="629"/>
      <c r="K24" s="629"/>
      <c r="L24" s="629"/>
      <c r="M24" s="629"/>
      <c r="N24" s="54" t="s">
        <v>388</v>
      </c>
      <c r="O24" s="54" t="s">
        <v>388</v>
      </c>
      <c r="P24" s="54" t="s">
        <v>389</v>
      </c>
      <c r="Q24" s="54" t="s">
        <v>490</v>
      </c>
      <c r="R24" s="54" t="s">
        <v>389</v>
      </c>
      <c r="S24" s="54" t="s">
        <v>389</v>
      </c>
      <c r="T24" s="54" t="s">
        <v>388</v>
      </c>
      <c r="U24" s="69">
        <v>14</v>
      </c>
      <c r="V24" s="69">
        <v>248</v>
      </c>
      <c r="W24" s="61">
        <v>20</v>
      </c>
      <c r="X24" s="59">
        <v>30</v>
      </c>
      <c r="Y24" s="58">
        <v>5</v>
      </c>
      <c r="Z24" s="58">
        <v>1.42</v>
      </c>
      <c r="AA24" s="58">
        <v>14</v>
      </c>
      <c r="AB24" s="467">
        <v>0.68</v>
      </c>
      <c r="AC24" s="629"/>
      <c r="AD24" s="59">
        <f t="shared" si="1"/>
        <v>1</v>
      </c>
      <c r="AE24" s="59">
        <f t="shared" si="2"/>
        <v>1</v>
      </c>
      <c r="AF24" s="59">
        <f t="shared" si="3"/>
        <v>1</v>
      </c>
      <c r="AG24" s="660">
        <v>1</v>
      </c>
      <c r="AH24" s="660">
        <v>1</v>
      </c>
      <c r="AI24" s="59">
        <f t="shared" si="11"/>
        <v>1</v>
      </c>
      <c r="AJ24" s="59">
        <f t="shared" si="4"/>
        <v>1</v>
      </c>
      <c r="AK24" s="59">
        <f t="shared" si="5"/>
        <v>1</v>
      </c>
      <c r="AL24" s="59">
        <f t="shared" si="6"/>
        <v>1</v>
      </c>
      <c r="AM24" s="59">
        <f t="shared" si="7"/>
        <v>1</v>
      </c>
      <c r="AN24" s="59">
        <f t="shared" si="8"/>
        <v>1</v>
      </c>
      <c r="AO24" s="59">
        <f t="shared" si="9"/>
        <v>1</v>
      </c>
      <c r="AP24" s="63">
        <f t="shared" si="10"/>
        <v>1</v>
      </c>
      <c r="AQ24" s="629"/>
      <c r="AR24" s="57" t="str">
        <f>IF(AP24=1,"157252"," ")</f>
        <v>157252</v>
      </c>
      <c r="AS24" s="56" t="s">
        <v>905</v>
      </c>
      <c r="AT24" s="94" t="s">
        <v>623</v>
      </c>
      <c r="AU24" s="59" t="s">
        <v>466</v>
      </c>
    </row>
    <row r="25" spans="1:49" s="517" customFormat="1" ht="15" x14ac:dyDescent="0.2">
      <c r="A25" s="629"/>
      <c r="B25" s="59">
        <f>AP25</f>
        <v>1</v>
      </c>
      <c r="C25" s="469" t="s">
        <v>2108</v>
      </c>
      <c r="D25" s="658" t="s">
        <v>1511</v>
      </c>
      <c r="E25" s="606" t="s">
        <v>463</v>
      </c>
      <c r="F25" s="606" t="s">
        <v>2109</v>
      </c>
      <c r="G25" s="606" t="s">
        <v>1541</v>
      </c>
      <c r="H25" s="629"/>
      <c r="I25" s="629"/>
      <c r="J25" s="629"/>
      <c r="K25" s="629"/>
      <c r="L25" s="629"/>
      <c r="M25" s="629"/>
      <c r="N25" s="54" t="s">
        <v>388</v>
      </c>
      <c r="O25" s="54" t="s">
        <v>389</v>
      </c>
      <c r="P25" s="54" t="s">
        <v>388</v>
      </c>
      <c r="Q25" s="54" t="s">
        <v>490</v>
      </c>
      <c r="R25" s="54" t="s">
        <v>389</v>
      </c>
      <c r="S25" s="54" t="s">
        <v>389</v>
      </c>
      <c r="T25" s="54" t="s">
        <v>388</v>
      </c>
      <c r="U25" s="69">
        <v>-4</v>
      </c>
      <c r="V25" s="69">
        <v>176</v>
      </c>
      <c r="W25" s="59">
        <v>9.5</v>
      </c>
      <c r="X25" s="59">
        <v>25</v>
      </c>
      <c r="Y25" s="58">
        <v>5</v>
      </c>
      <c r="Z25" s="58">
        <v>1.95</v>
      </c>
      <c r="AA25" s="58">
        <v>8</v>
      </c>
      <c r="AB25" s="467">
        <v>0.66</v>
      </c>
      <c r="AC25" s="629"/>
      <c r="AD25" s="59">
        <f>IF(P6Q1="Yes",IF(N25="Yes",1,0),1)</f>
        <v>1</v>
      </c>
      <c r="AE25" s="59">
        <f>IF(P6Q2="Yes",IF(O25="Yes",1,0),1)</f>
        <v>1</v>
      </c>
      <c r="AF25" s="59">
        <f>IF(P6Q3="Yes",IF(P25="Yes",1,0),1)</f>
        <v>1</v>
      </c>
      <c r="AG25" s="660">
        <v>1</v>
      </c>
      <c r="AH25" s="660">
        <v>1</v>
      </c>
      <c r="AI25" s="59">
        <f>IF(P6Q7="Yes",IF(S25="Yes",1,0),1)</f>
        <v>1</v>
      </c>
      <c r="AJ25" s="59">
        <f>IF(P6Q8="Yes",IF(T25="Yes",1,IF(T25="Light",IF(p0q3&lt;=5,1,0),0)),1)</f>
        <v>1</v>
      </c>
      <c r="AK25" s="59">
        <f>IF(P6Q4="Yes",IF(P6Q4a&gt;=U25,1,0),1)</f>
        <v>1</v>
      </c>
      <c r="AL25" s="59">
        <f>IF(P6Q4="Yes",IF(P6Q4a&lt;=V25,1,0),1)</f>
        <v>1</v>
      </c>
      <c r="AM25" s="59">
        <f>IF(W25&lt;=MinDia,1,0)</f>
        <v>1</v>
      </c>
      <c r="AN25" s="59">
        <f>IF(P1Q1="Head",1,IF(X25&lt;=40,1,0))</f>
        <v>1</v>
      </c>
      <c r="AO25" s="59">
        <f>IF(P6Q9&lt;=Y25,1,0)</f>
        <v>1</v>
      </c>
      <c r="AP25" s="63">
        <f>MIN(AD25:AO25)</f>
        <v>1</v>
      </c>
      <c r="AQ25" s="629"/>
      <c r="AR25" s="57" t="str">
        <f>IF(AP25=1,"460445"," ")</f>
        <v>460445</v>
      </c>
      <c r="AS25" s="56"/>
      <c r="AT25" s="469" t="s">
        <v>2108</v>
      </c>
      <c r="AU25" s="59"/>
    </row>
    <row r="26" spans="1:49" s="517" customFormat="1" ht="15" x14ac:dyDescent="0.2">
      <c r="A26" s="629"/>
      <c r="B26" s="59">
        <f t="shared" si="0"/>
        <v>1</v>
      </c>
      <c r="C26" s="446" t="s">
        <v>1136</v>
      </c>
      <c r="D26" s="658" t="s">
        <v>2077</v>
      </c>
      <c r="E26" s="354" t="s">
        <v>872</v>
      </c>
      <c r="F26" s="354" t="s">
        <v>1137</v>
      </c>
      <c r="G26" s="513" t="s">
        <v>506</v>
      </c>
      <c r="H26" s="629"/>
      <c r="I26" s="629"/>
      <c r="J26" s="629"/>
      <c r="K26" s="629"/>
      <c r="L26" s="629"/>
      <c r="M26" s="629"/>
      <c r="N26" s="54" t="s">
        <v>389</v>
      </c>
      <c r="O26" s="54" t="s">
        <v>389</v>
      </c>
      <c r="P26" s="54" t="s">
        <v>389</v>
      </c>
      <c r="Q26" s="54" t="s">
        <v>490</v>
      </c>
      <c r="R26" s="54" t="s">
        <v>389</v>
      </c>
      <c r="S26" s="54" t="s">
        <v>389</v>
      </c>
      <c r="T26" s="54" t="s">
        <v>389</v>
      </c>
      <c r="U26" s="69">
        <v>-13</v>
      </c>
      <c r="V26" s="69">
        <v>176</v>
      </c>
      <c r="W26" s="59">
        <v>40</v>
      </c>
      <c r="X26" s="61">
        <v>40</v>
      </c>
      <c r="Y26" s="58">
        <v>35</v>
      </c>
      <c r="Z26" s="58">
        <v>3.5</v>
      </c>
      <c r="AA26" s="58">
        <v>7</v>
      </c>
      <c r="AB26" s="467">
        <v>0.91</v>
      </c>
      <c r="AC26" s="629"/>
      <c r="AD26" s="59">
        <f t="shared" si="1"/>
        <v>1</v>
      </c>
      <c r="AE26" s="59">
        <f t="shared" si="2"/>
        <v>1</v>
      </c>
      <c r="AF26" s="59">
        <f t="shared" si="3"/>
        <v>1</v>
      </c>
      <c r="AG26" s="660">
        <v>1</v>
      </c>
      <c r="AH26" s="660">
        <v>1</v>
      </c>
      <c r="AI26" s="59">
        <f t="shared" si="11"/>
        <v>1</v>
      </c>
      <c r="AJ26" s="59">
        <f t="shared" si="4"/>
        <v>1</v>
      </c>
      <c r="AK26" s="59">
        <f t="shared" si="5"/>
        <v>1</v>
      </c>
      <c r="AL26" s="59">
        <f t="shared" si="6"/>
        <v>1</v>
      </c>
      <c r="AM26" s="59">
        <f t="shared" si="7"/>
        <v>1</v>
      </c>
      <c r="AN26" s="59">
        <f t="shared" si="8"/>
        <v>1</v>
      </c>
      <c r="AO26" s="59">
        <f t="shared" si="9"/>
        <v>1</v>
      </c>
      <c r="AP26" s="63">
        <f t="shared" si="10"/>
        <v>1</v>
      </c>
      <c r="AQ26" s="629"/>
      <c r="AR26" s="57" t="str">
        <f>IF(AP26=1,"500228"," ")</f>
        <v>500228</v>
      </c>
      <c r="AS26" s="56" t="s">
        <v>907</v>
      </c>
      <c r="AT26" s="446" t="s">
        <v>1136</v>
      </c>
      <c r="AU26" s="59" t="s">
        <v>469</v>
      </c>
    </row>
    <row r="27" spans="1:49" s="629" customFormat="1" ht="15" x14ac:dyDescent="0.2">
      <c r="B27" s="59">
        <f>AP27</f>
        <v>1</v>
      </c>
      <c r="C27" s="469" t="s">
        <v>2307</v>
      </c>
      <c r="D27" s="658" t="s">
        <v>1514</v>
      </c>
      <c r="E27" s="354" t="s">
        <v>463</v>
      </c>
      <c r="F27" s="354" t="s">
        <v>459</v>
      </c>
      <c r="G27" s="606" t="s">
        <v>2082</v>
      </c>
      <c r="N27" s="54" t="s">
        <v>388</v>
      </c>
      <c r="O27" s="54" t="s">
        <v>389</v>
      </c>
      <c r="P27" s="54" t="s">
        <v>388</v>
      </c>
      <c r="Q27" s="54" t="s">
        <v>491</v>
      </c>
      <c r="R27" s="54" t="s">
        <v>389</v>
      </c>
      <c r="S27" s="54" t="s">
        <v>389</v>
      </c>
      <c r="T27" s="54" t="s">
        <v>388</v>
      </c>
      <c r="U27" s="69">
        <v>-4</v>
      </c>
      <c r="V27" s="69">
        <v>176</v>
      </c>
      <c r="W27" s="59">
        <v>14</v>
      </c>
      <c r="X27" s="61">
        <v>40</v>
      </c>
      <c r="Y27" s="58">
        <v>5</v>
      </c>
      <c r="Z27" s="58">
        <v>1.6</v>
      </c>
      <c r="AA27" s="58">
        <v>8</v>
      </c>
      <c r="AB27" s="467">
        <v>0.72</v>
      </c>
      <c r="AD27" s="59">
        <f>IF(P6Q1="Yes",IF(N27="Yes",1,0),1)</f>
        <v>1</v>
      </c>
      <c r="AE27" s="59">
        <f>IF(P6Q2="Yes",IF(O27="Yes",1,0),1)</f>
        <v>1</v>
      </c>
      <c r="AF27" s="59">
        <f>IF(P6Q3="Yes",IF(P27="Yes",1,0),1)</f>
        <v>1</v>
      </c>
      <c r="AG27" s="660">
        <v>1</v>
      </c>
      <c r="AH27" s="660">
        <v>1</v>
      </c>
      <c r="AI27" s="59">
        <f t="shared" si="11"/>
        <v>1</v>
      </c>
      <c r="AJ27" s="59">
        <f>IF(P6Q8="Yes",IF(T27="Yes",1,IF(T27="Light",IF(p0q3&lt;=5,1,0),0)),1)</f>
        <v>1</v>
      </c>
      <c r="AK27" s="59">
        <f>IF(P6Q4="Yes",IF(P6Q4a&gt;=U27,1,0),1)</f>
        <v>1</v>
      </c>
      <c r="AL27" s="59">
        <f>IF(P6Q4="Yes",IF(P6Q4a&lt;=V27,1,0),1)</f>
        <v>1</v>
      </c>
      <c r="AM27" s="59">
        <f>IF(W27&lt;=MinDia,1,0)</f>
        <v>1</v>
      </c>
      <c r="AN27" s="59">
        <f>IF(P1Q1="Head",1,IF(X27&lt;=40,1,0))</f>
        <v>1</v>
      </c>
      <c r="AO27" s="59">
        <f>IF(P6Q9&lt;=Y27,1,0)</f>
        <v>1</v>
      </c>
      <c r="AP27" s="63">
        <f>MIN(AD27:AO27)</f>
        <v>1</v>
      </c>
      <c r="AR27" s="57" t="str">
        <f>IF(AP27=1,"577391"," ")</f>
        <v>577391</v>
      </c>
      <c r="AS27" s="56"/>
      <c r="AT27" s="469" t="s">
        <v>2307</v>
      </c>
      <c r="AU27" s="59"/>
      <c r="AW27" s="517"/>
    </row>
    <row r="28" spans="1:49" s="629" customFormat="1" ht="15" x14ac:dyDescent="0.2">
      <c r="B28" s="639">
        <f>AP28</f>
        <v>1</v>
      </c>
      <c r="C28" s="640" t="s">
        <v>2333</v>
      </c>
      <c r="D28" s="659" t="s">
        <v>666</v>
      </c>
      <c r="E28" s="641" t="s">
        <v>463</v>
      </c>
      <c r="F28" s="641" t="s">
        <v>462</v>
      </c>
      <c r="G28" s="642" t="s">
        <v>1510</v>
      </c>
      <c r="N28" s="639" t="s">
        <v>388</v>
      </c>
      <c r="O28" s="639" t="s">
        <v>389</v>
      </c>
      <c r="P28" s="639" t="s">
        <v>388</v>
      </c>
      <c r="Q28" s="639" t="s">
        <v>491</v>
      </c>
      <c r="R28" s="639" t="s">
        <v>389</v>
      </c>
      <c r="S28" s="639" t="s">
        <v>389</v>
      </c>
      <c r="T28" s="639" t="s">
        <v>389</v>
      </c>
      <c r="U28" s="643">
        <v>-4</v>
      </c>
      <c r="V28" s="643">
        <v>140</v>
      </c>
      <c r="W28" s="639">
        <v>6</v>
      </c>
      <c r="X28" s="639">
        <v>10</v>
      </c>
      <c r="Y28" s="644">
        <v>10</v>
      </c>
      <c r="Z28" s="644">
        <v>0.8</v>
      </c>
      <c r="AA28" s="644">
        <v>3</v>
      </c>
      <c r="AB28" s="467">
        <v>0.46</v>
      </c>
      <c r="AD28" s="639">
        <f>IF(P6Q1="Yes",IF(N28="Yes",1,0),1)</f>
        <v>1</v>
      </c>
      <c r="AE28" s="639">
        <f>IF(P6Q2="Yes",IF(O28="Yes",1,0),1)</f>
        <v>1</v>
      </c>
      <c r="AF28" s="639">
        <f>IF(P6Q3="Yes",IF(P28="Yes",1,0),1)</f>
        <v>1</v>
      </c>
      <c r="AG28" s="660">
        <v>1</v>
      </c>
      <c r="AH28" s="660">
        <v>1</v>
      </c>
      <c r="AI28" s="59">
        <f t="shared" si="11"/>
        <v>1</v>
      </c>
      <c r="AJ28" s="639">
        <f>IF(P6Q8="Yes",IF(T28="Yes",1,IF(T28="Light",IF(p0q3&lt;=5,1,0),0)),1)</f>
        <v>1</v>
      </c>
      <c r="AK28" s="639">
        <f>IF(P6Q4="Yes",IF(P6Q4a&gt;=U28,1,0),1)</f>
        <v>1</v>
      </c>
      <c r="AL28" s="639">
        <f>IF(P6Q4="Yes",IF(P6Q4a&lt;=V28,1,0),1)</f>
        <v>1</v>
      </c>
      <c r="AM28" s="639">
        <f>IF(W28&lt;=MinDia,1,0)</f>
        <v>1</v>
      </c>
      <c r="AN28" s="639">
        <f>IF(P1Q1="Head",1,IF(X28&lt;=40,1,0))</f>
        <v>1</v>
      </c>
      <c r="AO28" s="639">
        <f>IF(P6Q9&lt;=Y28,1,0)</f>
        <v>1</v>
      </c>
      <c r="AP28" s="645">
        <f>MIN(AD28:AO28)</f>
        <v>1</v>
      </c>
      <c r="AR28" s="646" t="str">
        <f>IF(AP28=1,"50017"," ")</f>
        <v>50017</v>
      </c>
      <c r="AS28" s="647"/>
      <c r="AT28" s="640" t="s">
        <v>2333</v>
      </c>
      <c r="AU28" s="639"/>
      <c r="AW28" s="517"/>
    </row>
    <row r="29" spans="1:49" s="629" customFormat="1" ht="15" x14ac:dyDescent="0.2">
      <c r="B29" s="517"/>
      <c r="C29" s="517"/>
      <c r="D29" s="517"/>
      <c r="E29" s="517"/>
      <c r="F29" s="517"/>
      <c r="G29" s="517"/>
      <c r="H29" s="517"/>
      <c r="I29" s="517"/>
      <c r="J29" s="517"/>
      <c r="K29" s="517"/>
      <c r="L29" s="517"/>
      <c r="M29" s="517"/>
      <c r="N29" s="517"/>
      <c r="O29" s="517"/>
      <c r="P29" s="517"/>
      <c r="Q29" s="517"/>
      <c r="R29" s="517"/>
      <c r="S29" s="517"/>
      <c r="T29" s="517"/>
      <c r="U29" s="517"/>
      <c r="V29" s="517"/>
      <c r="W29" s="517"/>
      <c r="X29" s="517"/>
      <c r="Y29" s="517"/>
      <c r="Z29" s="517"/>
      <c r="AA29" s="517"/>
      <c r="AB29" s="517"/>
      <c r="AC29" s="517"/>
      <c r="AD29" s="517"/>
      <c r="AE29" s="517"/>
      <c r="AF29" s="517"/>
      <c r="AG29" s="517"/>
      <c r="AH29" s="517"/>
      <c r="AI29" s="517"/>
      <c r="AJ29" s="517"/>
      <c r="AK29" s="517"/>
      <c r="AL29" s="517"/>
      <c r="AM29" s="517"/>
      <c r="AN29" s="517"/>
      <c r="AO29" s="517"/>
      <c r="AP29" s="517"/>
      <c r="AQ29" s="518"/>
      <c r="AR29" s="518"/>
      <c r="AS29" s="518"/>
    </row>
    <row r="35" spans="2:18" ht="15.75" x14ac:dyDescent="0.2">
      <c r="B35" s="847" t="s">
        <v>2093</v>
      </c>
      <c r="C35" s="847"/>
      <c r="D35" s="847"/>
      <c r="E35" s="847"/>
      <c r="F35" s="847"/>
      <c r="G35" s="847"/>
      <c r="H35" s="847"/>
      <c r="I35" s="847"/>
      <c r="J35" s="847"/>
      <c r="K35" s="847"/>
      <c r="L35" s="847"/>
      <c r="M35" s="847"/>
    </row>
    <row r="37" spans="2:18" x14ac:dyDescent="0.2">
      <c r="B37" s="853" t="str">
        <f>IF(p0q1&gt;6096,"Conveyor &gt;20' and will require V-guide with mechanical zipper splice","")</f>
        <v/>
      </c>
      <c r="C37" s="853"/>
      <c r="D37" s="853"/>
      <c r="E37" s="853"/>
      <c r="F37" s="853"/>
      <c r="G37" s="853"/>
      <c r="H37" s="853"/>
      <c r="I37" s="853"/>
      <c r="J37" s="853"/>
      <c r="K37" s="853"/>
    </row>
    <row r="38" spans="2:18" x14ac:dyDescent="0.2">
      <c r="B38" s="853" t="str">
        <f>IF(p0q1&gt;6096,"Please call mk Sales for conveyor quotation","")</f>
        <v/>
      </c>
      <c r="C38" s="853"/>
      <c r="D38" s="853"/>
      <c r="E38" s="853"/>
      <c r="F38" s="853"/>
      <c r="G38" s="853"/>
      <c r="H38" s="853"/>
      <c r="I38" s="853"/>
      <c r="J38" s="853"/>
    </row>
    <row r="39" spans="2:18" x14ac:dyDescent="0.2">
      <c r="R39" s="631"/>
    </row>
  </sheetData>
  <sheetProtection algorithmName="SHA-512" hashValue="bhwOpEpBk5XmRzQE/J/I3CyRVlhZN7lVgZ6036SJtcosnPRCxsgHjdJdYv+0Ms+aCq6/DbXtEvK+nLDBkVIxfg==" saltValue="3JwEYOcuiUWNd2fvK7YDGA==" spinCount="100000" sheet="1" objects="1" scenarios="1" selectLockedCells="1"/>
  <dataConsolidate/>
  <mergeCells count="31">
    <mergeCell ref="B37:K37"/>
    <mergeCell ref="B38:J38"/>
    <mergeCell ref="AK18:AL18"/>
    <mergeCell ref="N18:T18"/>
    <mergeCell ref="I16:J16"/>
    <mergeCell ref="AD18:AJ18"/>
    <mergeCell ref="W18:X18"/>
    <mergeCell ref="U18:V18"/>
    <mergeCell ref="K16:L16"/>
    <mergeCell ref="N9:N17"/>
    <mergeCell ref="O9:O17"/>
    <mergeCell ref="P9:P17"/>
    <mergeCell ref="U9:V17"/>
    <mergeCell ref="Y9:Y17"/>
    <mergeCell ref="Q9:Q17"/>
    <mergeCell ref="R9:R17"/>
    <mergeCell ref="S9:S17"/>
    <mergeCell ref="T9:T17"/>
    <mergeCell ref="B6:G7"/>
    <mergeCell ref="C14:F14"/>
    <mergeCell ref="C12:F12"/>
    <mergeCell ref="C11:F11"/>
    <mergeCell ref="C9:F9"/>
    <mergeCell ref="C10:F10"/>
    <mergeCell ref="C13:F13"/>
    <mergeCell ref="B35:M35"/>
    <mergeCell ref="E18:F18"/>
    <mergeCell ref="B18:D18"/>
    <mergeCell ref="I9:K14"/>
    <mergeCell ref="C16:F16"/>
    <mergeCell ref="C15:F15"/>
  </mergeCells>
  <phoneticPr fontId="7" type="noConversion"/>
  <conditionalFormatting sqref="G13">
    <cfRule type="expression" dxfId="34" priority="11" stopIfTrue="1">
      <formula>+G12="Yes"</formula>
    </cfRule>
  </conditionalFormatting>
  <conditionalFormatting sqref="N20:S28">
    <cfRule type="cellIs" dxfId="33" priority="12" stopIfTrue="1" operator="equal">
      <formula>"Yes"</formula>
    </cfRule>
  </conditionalFormatting>
  <conditionalFormatting sqref="T20:T28">
    <cfRule type="cellIs" dxfId="32" priority="13" stopIfTrue="1" operator="equal">
      <formula>"Yes"</formula>
    </cfRule>
    <cfRule type="cellIs" dxfId="31" priority="14" stopIfTrue="1" operator="equal">
      <formula>"Light"</formula>
    </cfRule>
  </conditionalFormatting>
  <conditionalFormatting sqref="B20:B28">
    <cfRule type="cellIs" dxfId="30" priority="15" stopIfTrue="1" operator="equal">
      <formula>0</formula>
    </cfRule>
    <cfRule type="cellIs" dxfId="29" priority="16" stopIfTrue="1" operator="equal">
      <formula>1</formula>
    </cfRule>
  </conditionalFormatting>
  <conditionalFormatting sqref="I9:K14">
    <cfRule type="cellIs" dxfId="28" priority="17" stopIfTrue="1" operator="notEqual">
      <formula>" "</formula>
    </cfRule>
  </conditionalFormatting>
  <dataValidations count="4">
    <dataValidation type="list" allowBlank="1" showInputMessage="1" showErrorMessage="1" sqref="I16:J16" xr:uid="{00000000-0002-0000-0400-000000000000}">
      <formula1>BeltSelection</formula1>
    </dataValidation>
    <dataValidation type="list" allowBlank="1" showInputMessage="1" showErrorMessage="1" sqref="G9:G12 G15:G16" xr:uid="{00000000-0002-0000-0400-000001000000}">
      <formula1>YesorNo</formula1>
    </dataValidation>
    <dataValidation type="list" allowBlank="1" showInputMessage="1" showErrorMessage="1" sqref="G14" xr:uid="{00000000-0002-0000-0400-000002000000}">
      <formula1>OilGrease</formula1>
    </dataValidation>
    <dataValidation type="whole" allowBlank="1" showInputMessage="1" showErrorMessage="1" errorTitle="Incline / Decline" error="Maximum with flat belts is 35 degrees._x000a_Others require cleats._x000a_Please consult factory." promptTitle="Product Temp." prompt="Enter in degrees F_x000a_" sqref="G13" xr:uid="{00000000-0002-0000-0400-000003000000}">
      <formula1>-65</formula1>
      <formula2>350</formula2>
    </dataValidation>
  </dataValidations>
  <pageMargins left="0.75" right="0.75" top="0.49" bottom="0.5" header="0.5" footer="0.5"/>
  <pageSetup scale="63" orientation="portrait" r:id="rId1"/>
  <headerFooter alignWithMargins="0">
    <oddFooter>&amp;L&amp;Z&amp;F&amp;R&amp;D</oddFooter>
  </headerFooter>
  <drawing r:id="rId2"/>
  <legacyDrawing r:id="rId3"/>
  <controls>
    <mc:AlternateContent xmlns:mc="http://schemas.openxmlformats.org/markup-compatibility/2006">
      <mc:Choice Requires="x14">
        <control shapeId="8343" r:id="rId4" name="CommandButton64">
          <controlPr defaultSize="0" autoLine="0" r:id="rId5">
            <anchor moveWithCells="1">
              <from>
                <xdr:col>9</xdr:col>
                <xdr:colOff>485775</xdr:colOff>
                <xdr:row>1</xdr:row>
                <xdr:rowOff>114300</xdr:rowOff>
              </from>
              <to>
                <xdr:col>11</xdr:col>
                <xdr:colOff>228600</xdr:colOff>
                <xdr:row>3</xdr:row>
                <xdr:rowOff>104775</xdr:rowOff>
              </to>
            </anchor>
          </controlPr>
        </control>
      </mc:Choice>
      <mc:Fallback>
        <control shapeId="8343" r:id="rId4" name="CommandButton64"/>
      </mc:Fallback>
    </mc:AlternateContent>
    <mc:AlternateContent xmlns:mc="http://schemas.openxmlformats.org/markup-compatibility/2006">
      <mc:Choice Requires="x14">
        <control shapeId="8194" r:id="rId6" name="CommandButton61">
          <controlPr defaultSize="0" autoLine="0" r:id="rId7">
            <anchor moveWithCells="1">
              <from>
                <xdr:col>11</xdr:col>
                <xdr:colOff>333375</xdr:colOff>
                <xdr:row>1</xdr:row>
                <xdr:rowOff>104775</xdr:rowOff>
              </from>
              <to>
                <xdr:col>11</xdr:col>
                <xdr:colOff>1028700</xdr:colOff>
                <xdr:row>3</xdr:row>
                <xdr:rowOff>95250</xdr:rowOff>
              </to>
            </anchor>
          </controlPr>
        </control>
      </mc:Choice>
      <mc:Fallback>
        <control shapeId="8194" r:id="rId6" name="CommandButton6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B5:R60"/>
  <sheetViews>
    <sheetView showOutlineSymbols="0" zoomScaleNormal="95" workbookViewId="0">
      <selection activeCell="J26" sqref="J26"/>
    </sheetView>
  </sheetViews>
  <sheetFormatPr defaultRowHeight="12.75" outlineLevelCol="1" x14ac:dyDescent="0.2"/>
  <cols>
    <col min="1" max="1" width="9.42578125" style="582" customWidth="1"/>
    <col min="2" max="2" width="11.7109375" style="582" bestFit="1" customWidth="1"/>
    <col min="3" max="3" width="15.28515625" style="582" customWidth="1"/>
    <col min="4" max="4" width="3.28515625" style="582" customWidth="1"/>
    <col min="5" max="5" width="8.7109375" style="582" customWidth="1"/>
    <col min="6" max="6" width="8.140625" style="582" customWidth="1"/>
    <col min="7" max="7" width="2.7109375" style="582" customWidth="1"/>
    <col min="8" max="8" width="10.28515625" style="582" customWidth="1"/>
    <col min="9" max="9" width="13.7109375" style="582" customWidth="1"/>
    <col min="10" max="10" width="16.7109375" style="582" bestFit="1" customWidth="1"/>
    <col min="11" max="11" width="13.140625" style="582" customWidth="1"/>
    <col min="12" max="12" width="8.140625" style="582" customWidth="1"/>
    <col min="13" max="13" width="3.140625" style="582" customWidth="1"/>
    <col min="14" max="14" width="9.140625" style="582"/>
    <col min="15" max="15" width="2.85546875" style="582" customWidth="1"/>
    <col min="16" max="16" width="13.140625" style="582" hidden="1" customWidth="1" outlineLevel="1"/>
    <col min="17" max="17" width="9.140625" style="582" hidden="1" customWidth="1" outlineLevel="1"/>
    <col min="18" max="18" width="9.140625" style="582" collapsed="1"/>
    <col min="19" max="16384" width="9.140625" style="582"/>
  </cols>
  <sheetData>
    <row r="5" spans="2:17" s="91" customFormat="1" ht="12.75" customHeight="1" thickBot="1" x14ac:dyDescent="0.25">
      <c r="B5" s="788"/>
      <c r="C5" s="788"/>
      <c r="D5" s="788"/>
      <c r="E5" s="788"/>
      <c r="F5" s="788"/>
      <c r="G5" s="788"/>
      <c r="H5" s="788"/>
      <c r="I5" s="788"/>
      <c r="J5" s="788"/>
      <c r="K5" s="788"/>
      <c r="L5" s="788"/>
      <c r="M5" s="788"/>
    </row>
    <row r="6" spans="2:17" ht="13.15" customHeight="1" thickTop="1" x14ac:dyDescent="0.3">
      <c r="B6" s="865" t="s">
        <v>2076</v>
      </c>
      <c r="C6" s="865"/>
      <c r="D6" s="865"/>
      <c r="E6" s="865"/>
      <c r="F6" s="581"/>
      <c r="L6" s="581"/>
      <c r="O6" s="581"/>
    </row>
    <row r="7" spans="2:17" ht="12.75" customHeight="1" x14ac:dyDescent="0.3">
      <c r="B7" s="865"/>
      <c r="C7" s="865"/>
      <c r="D7" s="865"/>
      <c r="E7" s="865"/>
      <c r="F7" s="581"/>
      <c r="L7" s="581"/>
      <c r="O7" s="581"/>
    </row>
    <row r="9" spans="2:17" s="585" customFormat="1" ht="15" x14ac:dyDescent="0.2">
      <c r="B9" s="583" t="s">
        <v>641</v>
      </c>
      <c r="C9" s="583"/>
      <c r="D9" s="584"/>
      <c r="E9" s="866"/>
      <c r="F9" s="867"/>
      <c r="H9" s="868" t="str">
        <f>IF(Page7Test&gt;1,"Clear one field",IF(Page7Test=0,"Enter height",))</f>
        <v>Enter height</v>
      </c>
      <c r="I9" s="868"/>
      <c r="J9" s="586"/>
      <c r="K9" s="582"/>
      <c r="L9" s="582"/>
    </row>
    <row r="10" spans="2:17" s="585" customFormat="1" ht="15" x14ac:dyDescent="0.2"/>
    <row r="11" spans="2:17" s="585" customFormat="1" ht="15" x14ac:dyDescent="0.2">
      <c r="E11" s="588"/>
      <c r="F11" s="588"/>
      <c r="K11" s="588"/>
      <c r="L11" s="588"/>
      <c r="P11" s="585" t="s">
        <v>2034</v>
      </c>
      <c r="Q11" s="585">
        <f>IF(AND(P7Q1="SF1.3",P7Q2=0),1,0)</f>
        <v>0</v>
      </c>
    </row>
    <row r="12" spans="2:17" s="585" customFormat="1" ht="15" x14ac:dyDescent="0.2">
      <c r="E12" s="582"/>
      <c r="F12" s="582"/>
      <c r="K12" s="582"/>
      <c r="L12" s="582"/>
      <c r="P12" s="585" t="s">
        <v>2035</v>
      </c>
      <c r="Q12" s="585">
        <f>IF(AND(P7Q1="SF7.1",P7Q5=0),1,0)</f>
        <v>0</v>
      </c>
    </row>
    <row r="13" spans="2:17" s="585" customFormat="1" ht="15" x14ac:dyDescent="0.2">
      <c r="P13" s="585" t="s">
        <v>2036</v>
      </c>
      <c r="Q13" s="585">
        <f>IF(AND(P7Q1="SF1.3",P7Q5&lt;&gt;0),1,0)</f>
        <v>0</v>
      </c>
    </row>
    <row r="14" spans="2:17" s="585" customFormat="1" ht="15" x14ac:dyDescent="0.2">
      <c r="P14" s="585" t="s">
        <v>2036</v>
      </c>
      <c r="Q14" s="585">
        <f>IF(AND(P7Q1="SF7.1",P7Q2&lt;&gt;0),1,0)</f>
        <v>0</v>
      </c>
    </row>
    <row r="15" spans="2:17" s="585" customFormat="1" ht="15" x14ac:dyDescent="0.2">
      <c r="P15" s="585" t="s">
        <v>2037</v>
      </c>
      <c r="Q15" s="585">
        <f>IF(AND(P7Q5&lt;&gt;0,P7Q2&lt;&gt;0),1,0)</f>
        <v>0</v>
      </c>
    </row>
    <row r="16" spans="2:17" s="585" customFormat="1" ht="15" x14ac:dyDescent="0.2">
      <c r="P16" s="620" t="s">
        <v>2038</v>
      </c>
      <c r="Q16" s="620">
        <f>MAX(Q11:Q15)</f>
        <v>0</v>
      </c>
    </row>
    <row r="17" spans="2:12" s="585" customFormat="1" ht="15" customHeight="1" x14ac:dyDescent="0.2">
      <c r="F17" s="582"/>
    </row>
    <row r="18" spans="2:12" s="585" customFormat="1" ht="15" x14ac:dyDescent="0.2">
      <c r="E18" s="588"/>
      <c r="F18" s="588"/>
      <c r="K18" s="588"/>
      <c r="L18" s="588"/>
    </row>
    <row r="19" spans="2:12" s="585" customFormat="1" ht="15" x14ac:dyDescent="0.2">
      <c r="E19" s="582"/>
      <c r="F19" s="588"/>
      <c r="K19" s="582"/>
      <c r="L19" s="588"/>
    </row>
    <row r="20" spans="2:12" s="585" customFormat="1" ht="15" x14ac:dyDescent="0.2">
      <c r="E20" s="589"/>
      <c r="F20" s="589"/>
      <c r="K20" s="589"/>
      <c r="L20" s="589"/>
    </row>
    <row r="21" spans="2:12" s="585" customFormat="1" ht="15.6" customHeight="1" x14ac:dyDescent="0.2">
      <c r="E21" s="582"/>
      <c r="F21" s="582"/>
      <c r="K21" s="582"/>
      <c r="L21" s="582"/>
    </row>
    <row r="22" spans="2:12" s="585" customFormat="1" ht="15" x14ac:dyDescent="0.2">
      <c r="K22" s="582"/>
    </row>
    <row r="23" spans="2:12" s="585" customFormat="1" ht="15" x14ac:dyDescent="0.2"/>
    <row r="24" spans="2:12" s="585" customFormat="1" ht="15" x14ac:dyDescent="0.2"/>
    <row r="25" spans="2:12" s="585" customFormat="1" ht="15" x14ac:dyDescent="0.2">
      <c r="E25" s="588"/>
      <c r="F25" s="588"/>
      <c r="K25" s="588"/>
    </row>
    <row r="26" spans="2:12" s="585" customFormat="1" ht="15.75" x14ac:dyDescent="0.2">
      <c r="B26" s="585" t="s">
        <v>529</v>
      </c>
      <c r="C26" s="587"/>
      <c r="E26" s="588"/>
      <c r="F26" s="588"/>
      <c r="I26" s="585" t="s">
        <v>532</v>
      </c>
      <c r="J26" s="587"/>
      <c r="K26" s="588"/>
      <c r="L26" s="588"/>
    </row>
    <row r="27" spans="2:12" s="585" customFormat="1" ht="15" x14ac:dyDescent="0.2">
      <c r="B27" s="582" t="s">
        <v>536</v>
      </c>
      <c r="C27" s="582"/>
      <c r="I27" s="789" t="s">
        <v>2331</v>
      </c>
      <c r="J27" s="582"/>
    </row>
    <row r="28" spans="2:12" s="585" customFormat="1" ht="15.75" x14ac:dyDescent="0.2">
      <c r="B28" s="662" t="s">
        <v>666</v>
      </c>
      <c r="I28" s="662" t="s">
        <v>1511</v>
      </c>
    </row>
    <row r="29" spans="2:12" s="585" customFormat="1" ht="15" x14ac:dyDescent="0.2"/>
    <row r="30" spans="2:12" s="585" customFormat="1" ht="15" x14ac:dyDescent="0.2"/>
    <row r="31" spans="2:12" s="585" customFormat="1" ht="15" x14ac:dyDescent="0.2"/>
    <row r="32" spans="2:12" s="585" customFormat="1" ht="15" x14ac:dyDescent="0.2"/>
    <row r="33" s="585" customFormat="1" ht="15" x14ac:dyDescent="0.2"/>
    <row r="34" s="585" customFormat="1" ht="15" x14ac:dyDescent="0.2"/>
    <row r="35" s="585" customFormat="1" ht="15" x14ac:dyDescent="0.2"/>
    <row r="36" s="585" customFormat="1" ht="15" x14ac:dyDescent="0.2"/>
    <row r="37" s="585" customFormat="1" ht="15" x14ac:dyDescent="0.2"/>
    <row r="38" s="585" customFormat="1" ht="15" x14ac:dyDescent="0.2"/>
    <row r="39" s="585" customFormat="1" ht="15" x14ac:dyDescent="0.2"/>
    <row r="40" s="585" customFormat="1" ht="15" x14ac:dyDescent="0.2"/>
    <row r="41" s="585" customFormat="1" ht="15" x14ac:dyDescent="0.2"/>
    <row r="42" s="585" customFormat="1" ht="15" x14ac:dyDescent="0.2"/>
    <row r="43" s="585" customFormat="1" ht="15" x14ac:dyDescent="0.2"/>
    <row r="44" s="585" customFormat="1" ht="15" x14ac:dyDescent="0.2"/>
    <row r="45" s="585" customFormat="1" ht="15" x14ac:dyDescent="0.2"/>
    <row r="46" s="585" customFormat="1" ht="15" x14ac:dyDescent="0.2"/>
    <row r="47" s="585" customFormat="1" ht="15" x14ac:dyDescent="0.2"/>
    <row r="48" s="585" customFormat="1" ht="15" x14ac:dyDescent="0.2"/>
    <row r="49" spans="3:12" s="585" customFormat="1" ht="15" x14ac:dyDescent="0.2"/>
    <row r="50" spans="3:12" s="585" customFormat="1" ht="15" x14ac:dyDescent="0.2"/>
    <row r="51" spans="3:12" s="585" customFormat="1" ht="15" x14ac:dyDescent="0.2"/>
    <row r="52" spans="3:12" s="585" customFormat="1" ht="15" x14ac:dyDescent="0.2"/>
    <row r="53" spans="3:12" s="585" customFormat="1" ht="15" x14ac:dyDescent="0.2"/>
    <row r="54" spans="3:12" s="585" customFormat="1" ht="15" x14ac:dyDescent="0.2"/>
    <row r="55" spans="3:12" s="585" customFormat="1" ht="15" x14ac:dyDescent="0.2"/>
    <row r="56" spans="3:12" s="585" customFormat="1" ht="15" x14ac:dyDescent="0.2">
      <c r="H56" s="590"/>
      <c r="I56" s="590"/>
    </row>
    <row r="57" spans="3:12" s="585" customFormat="1" ht="15" x14ac:dyDescent="0.2">
      <c r="H57" s="590"/>
      <c r="I57" s="590"/>
    </row>
    <row r="58" spans="3:12" s="585" customFormat="1" ht="15" x14ac:dyDescent="0.2">
      <c r="H58" s="590"/>
      <c r="I58" s="590"/>
    </row>
    <row r="59" spans="3:12" ht="15" x14ac:dyDescent="0.2">
      <c r="C59" s="585"/>
      <c r="D59" s="585"/>
      <c r="E59" s="585"/>
      <c r="F59" s="585"/>
      <c r="K59" s="585"/>
      <c r="L59" s="585"/>
    </row>
    <row r="60" spans="3:12" ht="15" x14ac:dyDescent="0.2">
      <c r="C60" s="585"/>
      <c r="D60" s="585"/>
      <c r="E60" s="585"/>
      <c r="F60" s="585"/>
      <c r="K60" s="585"/>
      <c r="L60" s="585"/>
    </row>
  </sheetData>
  <sheetProtection algorithmName="SHA-512" hashValue="pMpV9Wov4KBzSdnm0fZ4wQFgqJAdIsz1DZ9Y0kc9QL2VQg/zXxZDdgDRKuNOjrW4RhGDc8b8EvksqXjtKyG3pw==" saltValue="3ZGyVIMxSAjncBHrI73KSg==" spinCount="100000" sheet="1" objects="1" scenarios="1" selectLockedCells="1"/>
  <dataConsolidate/>
  <mergeCells count="3">
    <mergeCell ref="B6:E7"/>
    <mergeCell ref="E9:F9"/>
    <mergeCell ref="H9:I9"/>
  </mergeCells>
  <conditionalFormatting sqref="E20:F20 K20:L20 H9:J9">
    <cfRule type="cellIs" dxfId="27" priority="5" stopIfTrue="1" operator="notEqual">
      <formula>0</formula>
    </cfRule>
  </conditionalFormatting>
  <conditionalFormatting sqref="C26">
    <cfRule type="expression" dxfId="26" priority="3" stopIfTrue="1">
      <formula>$E$9="SF1.3"</formula>
    </cfRule>
  </conditionalFormatting>
  <conditionalFormatting sqref="J26">
    <cfRule type="expression" dxfId="25" priority="1" stopIfTrue="1">
      <formula>$E$9="SF7.1"</formula>
    </cfRule>
  </conditionalFormatting>
  <dataValidations count="3">
    <dataValidation type="whole" allowBlank="1" showInputMessage="1" showErrorMessage="1" errorTitle="Height" error="Must be between_x000a_10 - 50 mm" sqref="C26" xr:uid="{00000000-0002-0000-0500-000000000000}">
      <formula1>10</formula1>
      <formula2>50</formula2>
    </dataValidation>
    <dataValidation type="list" allowBlank="1" showInputMessage="1" showErrorMessage="1" errorTitle="Data" error="50mm only" sqref="J26" xr:uid="{00000000-0002-0000-0500-000001000000}">
      <formula1>_sf71</formula1>
    </dataValidation>
    <dataValidation type="list" allowBlank="1" showInputMessage="1" showErrorMessage="1" sqref="E9:F9" xr:uid="{00000000-0002-0000-0500-000002000000}">
      <formula1>Rail0</formula1>
    </dataValidation>
  </dataValidations>
  <pageMargins left="0.75" right="0.75" top="0.49" bottom="0.5" header="0.5" footer="0.5"/>
  <pageSetup scale="76" orientation="portrait" r:id="rId1"/>
  <headerFooter alignWithMargins="0">
    <oddFooter>&amp;L&amp;Z&amp;F&amp;R&amp;D</oddFooter>
  </headerFooter>
  <drawing r:id="rId2"/>
  <legacyDrawing r:id="rId3"/>
  <controls>
    <mc:AlternateContent xmlns:mc="http://schemas.openxmlformats.org/markup-compatibility/2006">
      <mc:Choice Requires="x14">
        <control shapeId="300034" r:id="rId4" name="CommandButton72">
          <controlPr defaultSize="0" autoLine="0" r:id="rId5">
            <anchor moveWithCells="1">
              <from>
                <xdr:col>9</xdr:col>
                <xdr:colOff>866775</xdr:colOff>
                <xdr:row>2</xdr:row>
                <xdr:rowOff>19050</xdr:rowOff>
              </from>
              <to>
                <xdr:col>10</xdr:col>
                <xdr:colOff>447675</xdr:colOff>
                <xdr:row>4</xdr:row>
                <xdr:rowOff>9525</xdr:rowOff>
              </to>
            </anchor>
          </controlPr>
        </control>
      </mc:Choice>
      <mc:Fallback>
        <control shapeId="300034" r:id="rId4" name="CommandButton72"/>
      </mc:Fallback>
    </mc:AlternateContent>
    <mc:AlternateContent xmlns:mc="http://schemas.openxmlformats.org/markup-compatibility/2006">
      <mc:Choice Requires="x14">
        <control shapeId="300033" r:id="rId6" name="CommandButton71">
          <controlPr defaultSize="0" autoLine="0" r:id="rId7">
            <anchor moveWithCells="1">
              <from>
                <xdr:col>10</xdr:col>
                <xdr:colOff>561975</xdr:colOff>
                <xdr:row>2</xdr:row>
                <xdr:rowOff>9525</xdr:rowOff>
              </from>
              <to>
                <xdr:col>11</xdr:col>
                <xdr:colOff>381000</xdr:colOff>
                <xdr:row>4</xdr:row>
                <xdr:rowOff>0</xdr:rowOff>
              </to>
            </anchor>
          </controlPr>
        </control>
      </mc:Choice>
      <mc:Fallback>
        <control shapeId="300033" r:id="rId6" name="CommandButton7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5">
    <pageSetUpPr fitToPage="1"/>
  </sheetPr>
  <dimension ref="B5:M33"/>
  <sheetViews>
    <sheetView showRowColHeaders="0" showOutlineSymbols="0" zoomScaleNormal="100" workbookViewId="0">
      <selection activeCell="C25" sqref="C25"/>
    </sheetView>
  </sheetViews>
  <sheetFormatPr defaultRowHeight="12.75" x14ac:dyDescent="0.2"/>
  <cols>
    <col min="1" max="1" width="10.42578125" style="518" customWidth="1"/>
    <col min="2" max="2" width="27.85546875" style="518" bestFit="1" customWidth="1"/>
    <col min="3" max="3" width="13.5703125" style="518" customWidth="1"/>
    <col min="4" max="4" width="23.42578125" style="518" customWidth="1"/>
    <col min="5" max="5" width="9.140625" style="518"/>
    <col min="6" max="6" width="2.85546875" style="518" customWidth="1"/>
    <col min="7" max="7" width="13.140625" style="518" bestFit="1" customWidth="1"/>
    <col min="8" max="12" width="9.140625" style="518"/>
    <col min="13" max="13" width="6.28515625" style="518" customWidth="1"/>
    <col min="14" max="16384" width="9.140625" style="518"/>
  </cols>
  <sheetData>
    <row r="5" spans="2:13" s="91" customFormat="1" ht="12.75" customHeight="1" thickBot="1" x14ac:dyDescent="0.25">
      <c r="B5" s="790"/>
      <c r="C5" s="790"/>
      <c r="D5" s="790"/>
      <c r="E5" s="790"/>
      <c r="F5" s="790"/>
      <c r="G5" s="790"/>
      <c r="H5" s="790"/>
      <c r="I5" s="790"/>
      <c r="J5" s="790"/>
      <c r="K5" s="790"/>
      <c r="L5" s="790"/>
      <c r="M5" s="790"/>
    </row>
    <row r="6" spans="2:13" ht="13.15" customHeight="1" thickTop="1" x14ac:dyDescent="0.3">
      <c r="B6" s="819" t="s">
        <v>2078</v>
      </c>
      <c r="C6" s="819"/>
      <c r="F6" s="531"/>
    </row>
    <row r="7" spans="2:13" ht="12.75" customHeight="1" x14ac:dyDescent="0.3">
      <c r="B7" s="819"/>
      <c r="C7" s="819"/>
      <c r="F7" s="531"/>
    </row>
    <row r="9" spans="2:13" s="517" customFormat="1" ht="15" x14ac:dyDescent="0.2">
      <c r="B9" s="568"/>
      <c r="C9" s="568"/>
      <c r="D9" s="518"/>
    </row>
    <row r="10" spans="2:13" s="517" customFormat="1" ht="15" x14ac:dyDescent="0.2">
      <c r="C10" s="518"/>
      <c r="D10" s="518"/>
    </row>
    <row r="11" spans="2:13" s="517" customFormat="1" ht="15" x14ac:dyDescent="0.2">
      <c r="C11" s="518"/>
      <c r="D11" s="518"/>
    </row>
    <row r="12" spans="2:13" s="517" customFormat="1" ht="15" x14ac:dyDescent="0.2">
      <c r="C12" s="518"/>
      <c r="D12" s="518"/>
    </row>
    <row r="13" spans="2:13" s="517" customFormat="1" ht="15" x14ac:dyDescent="0.2">
      <c r="C13" s="518"/>
      <c r="D13" s="518"/>
    </row>
    <row r="14" spans="2:13" s="517" customFormat="1" ht="15" x14ac:dyDescent="0.2"/>
    <row r="15" spans="2:13" s="517" customFormat="1" ht="15" x14ac:dyDescent="0.2"/>
    <row r="16" spans="2:13" s="517" customFormat="1" ht="15" x14ac:dyDescent="0.2"/>
    <row r="17" spans="2:4" s="517" customFormat="1" ht="15" x14ac:dyDescent="0.2"/>
    <row r="18" spans="2:4" s="517" customFormat="1" ht="15" x14ac:dyDescent="0.2"/>
    <row r="19" spans="2:4" s="517" customFormat="1" ht="15" x14ac:dyDescent="0.2"/>
    <row r="20" spans="2:4" s="517" customFormat="1" ht="15" x14ac:dyDescent="0.2"/>
    <row r="21" spans="2:4" s="517" customFormat="1" ht="15" x14ac:dyDescent="0.2"/>
    <row r="22" spans="2:4" s="517" customFormat="1" ht="15" x14ac:dyDescent="0.2">
      <c r="D22" s="529"/>
    </row>
    <row r="23" spans="2:4" s="517" customFormat="1" ht="15" x14ac:dyDescent="0.2">
      <c r="D23" s="529"/>
    </row>
    <row r="24" spans="2:4" s="517" customFormat="1" ht="15" x14ac:dyDescent="0.2"/>
    <row r="25" spans="2:4" ht="15" x14ac:dyDescent="0.2">
      <c r="B25" s="527" t="s">
        <v>2039</v>
      </c>
      <c r="C25" s="521" t="s">
        <v>388</v>
      </c>
      <c r="D25" s="529"/>
    </row>
    <row r="27" spans="2:4" ht="15.75" x14ac:dyDescent="0.2">
      <c r="B27" s="604" t="s">
        <v>628</v>
      </c>
      <c r="C27" s="263">
        <f>+P0Q2</f>
        <v>800</v>
      </c>
    </row>
    <row r="29" spans="2:4" ht="15.75" x14ac:dyDescent="0.2">
      <c r="B29" s="604" t="s">
        <v>2042</v>
      </c>
      <c r="C29" s="263" t="s">
        <v>2044</v>
      </c>
      <c r="D29" s="605"/>
    </row>
    <row r="30" spans="2:4" ht="15.75" x14ac:dyDescent="0.2">
      <c r="B30" s="604" t="s">
        <v>2040</v>
      </c>
      <c r="C30" s="263">
        <v>69</v>
      </c>
      <c r="D30" s="605" t="str">
        <f>"mm, ("&amp;+ROUND(C30/25.4,2)&amp;" in)"</f>
        <v>mm, (2.72 in)</v>
      </c>
    </row>
    <row r="32" spans="2:4" ht="15.75" x14ac:dyDescent="0.2">
      <c r="B32" s="604" t="s">
        <v>2041</v>
      </c>
      <c r="C32" s="263">
        <f>IF((P0Q2-140)&lt;0,0,+P0Q2-140)</f>
        <v>660</v>
      </c>
      <c r="D32" s="605" t="str">
        <f>"mm, ("&amp;+ROUND(C32/25.4,2)&amp;" in)"</f>
        <v>mm, (25.98 in)</v>
      </c>
    </row>
    <row r="33" spans="2:4" ht="15.75" x14ac:dyDescent="0.2">
      <c r="B33" s="604" t="s">
        <v>2043</v>
      </c>
      <c r="C33" s="263">
        <f>P0Q2+60</f>
        <v>860</v>
      </c>
      <c r="D33" s="605" t="str">
        <f>"mm, ("&amp;+ROUND(C33/25.4,2)&amp;" in)"</f>
        <v>mm, (33.86 in)</v>
      </c>
    </row>
  </sheetData>
  <sheetProtection selectLockedCells="1"/>
  <dataConsolidate/>
  <mergeCells count="1">
    <mergeCell ref="B6:C7"/>
  </mergeCells>
  <phoneticPr fontId="7" type="noConversion"/>
  <dataValidations count="1">
    <dataValidation type="list" allowBlank="1" promptTitle="Motor" prompt="N/A if no motor requested_x000a_" sqref="C25" xr:uid="{00000000-0002-0000-0600-000000000000}">
      <formula1>YesorNo</formula1>
    </dataValidation>
  </dataValidations>
  <pageMargins left="0.75" right="0.75" top="0.49" bottom="0.5" header="0.5" footer="0.5"/>
  <pageSetup scale="76" orientation="portrait" r:id="rId1"/>
  <headerFooter alignWithMargins="0">
    <oddFooter>&amp;L&amp;Z&amp;F&amp;R&amp;D</oddFooter>
  </headerFooter>
  <drawing r:id="rId2"/>
  <legacyDrawing r:id="rId3"/>
  <controls>
    <mc:AlternateContent xmlns:mc="http://schemas.openxmlformats.org/markup-compatibility/2006">
      <mc:Choice Requires="x14">
        <control shapeId="24578" r:id="rId4" name="CommandButtonHelpR01">
          <controlPr defaultSize="0" autoLine="0" r:id="rId5">
            <anchor moveWithCells="1">
              <from>
                <xdr:col>10</xdr:col>
                <xdr:colOff>428625</xdr:colOff>
                <xdr:row>2</xdr:row>
                <xdr:rowOff>0</xdr:rowOff>
              </from>
              <to>
                <xdr:col>11</xdr:col>
                <xdr:colOff>514350</xdr:colOff>
                <xdr:row>3</xdr:row>
                <xdr:rowOff>152400</xdr:rowOff>
              </to>
            </anchor>
          </controlPr>
        </control>
      </mc:Choice>
      <mc:Fallback>
        <control shapeId="24578" r:id="rId4" name="CommandButtonHelpR0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4">
    <pageSetUpPr fitToPage="1"/>
  </sheetPr>
  <dimension ref="B4:R36"/>
  <sheetViews>
    <sheetView showRowColHeaders="0" showOutlineSymbols="0" zoomScaleNormal="95" workbookViewId="0">
      <selection activeCell="E11" sqref="E11"/>
    </sheetView>
  </sheetViews>
  <sheetFormatPr defaultRowHeight="12.75" outlineLevelRow="1" outlineLevelCol="1" x14ac:dyDescent="0.2"/>
  <cols>
    <col min="1" max="1" width="10.7109375" style="518" customWidth="1"/>
    <col min="2" max="2" width="27.140625" style="518" customWidth="1"/>
    <col min="3" max="3" width="4.5703125" style="518" bestFit="1" customWidth="1"/>
    <col min="4" max="4" width="27.140625" style="518" bestFit="1" customWidth="1"/>
    <col min="5" max="5" width="8.7109375" style="518" customWidth="1"/>
    <col min="6" max="6" width="6.42578125" style="518" bestFit="1" customWidth="1"/>
    <col min="7" max="7" width="4.5703125" style="518" bestFit="1" customWidth="1"/>
    <col min="8" max="8" width="7.5703125" style="518" bestFit="1" customWidth="1"/>
    <col min="9" max="9" width="9.140625" style="518"/>
    <col min="10" max="10" width="6.42578125" style="518" bestFit="1" customWidth="1"/>
    <col min="11" max="12" width="9.140625" style="518"/>
    <col min="13" max="13" width="1.42578125" style="518" customWidth="1"/>
    <col min="14" max="14" width="9.140625" style="518"/>
    <col min="15" max="15" width="6.28515625" style="518" hidden="1" customWidth="1" outlineLevel="1"/>
    <col min="16" max="16" width="2.28515625" style="518" hidden="1" customWidth="1" outlineLevel="1"/>
    <col min="17" max="17" width="7" style="518" hidden="1" customWidth="1" outlineLevel="1"/>
    <col min="18" max="18" width="9.140625" style="518" collapsed="1"/>
    <col min="19" max="16384" width="9.140625" style="518"/>
  </cols>
  <sheetData>
    <row r="4" spans="2:17" ht="13.15" customHeight="1" x14ac:dyDescent="0.3">
      <c r="C4" s="531"/>
      <c r="D4" s="531"/>
      <c r="G4" s="531"/>
    </row>
    <row r="5" spans="2:17" s="91" customFormat="1" ht="12.75" customHeight="1" thickBot="1" x14ac:dyDescent="0.25">
      <c r="B5" s="790"/>
      <c r="C5" s="790"/>
      <c r="D5" s="790"/>
      <c r="E5" s="790"/>
      <c r="F5" s="790"/>
      <c r="G5" s="790"/>
      <c r="H5" s="790"/>
      <c r="I5" s="790"/>
      <c r="J5" s="790"/>
      <c r="K5" s="790"/>
      <c r="L5" s="790"/>
      <c r="M5" s="790"/>
    </row>
    <row r="6" spans="2:17" ht="13.15" customHeight="1" thickTop="1" x14ac:dyDescent="0.3">
      <c r="B6" s="870" t="s">
        <v>2079</v>
      </c>
      <c r="C6" s="870"/>
      <c r="D6" s="870"/>
      <c r="G6" s="531"/>
    </row>
    <row r="7" spans="2:17" ht="12.75" customHeight="1" x14ac:dyDescent="0.3">
      <c r="B7" s="870"/>
      <c r="C7" s="870"/>
      <c r="D7" s="870"/>
      <c r="G7" s="531"/>
      <c r="O7" s="605" t="s">
        <v>653</v>
      </c>
      <c r="P7" s="518">
        <f>IF(AND(E11&lt;&gt;0,E12&lt;&gt;0),1,0)</f>
        <v>0</v>
      </c>
      <c r="Q7" s="606" t="s">
        <v>1985</v>
      </c>
    </row>
    <row r="8" spans="2:17" x14ac:dyDescent="0.2">
      <c r="O8" s="605" t="s">
        <v>1986</v>
      </c>
      <c r="P8" s="518">
        <f>IF(AND(P10q10="Yes",P10q9="Yes"),1,0)</f>
        <v>0</v>
      </c>
      <c r="Q8" s="606" t="s">
        <v>1987</v>
      </c>
    </row>
    <row r="9" spans="2:17" s="517" customFormat="1" ht="15" x14ac:dyDescent="0.2">
      <c r="D9" s="603" t="s">
        <v>1984</v>
      </c>
      <c r="E9" s="262">
        <v>55.1</v>
      </c>
      <c r="O9" s="518" t="s">
        <v>1989</v>
      </c>
      <c r="P9" s="518">
        <f>IF(P10Q3=0,1,0)</f>
        <v>0</v>
      </c>
    </row>
    <row r="10" spans="2:17" s="517" customFormat="1" ht="15" x14ac:dyDescent="0.2"/>
    <row r="11" spans="2:17" s="517" customFormat="1" ht="15.75" x14ac:dyDescent="0.2">
      <c r="C11" s="261" t="s">
        <v>912</v>
      </c>
      <c r="D11" s="599" t="s">
        <v>2142</v>
      </c>
      <c r="E11" s="240"/>
      <c r="F11" s="530" t="s">
        <v>558</v>
      </c>
      <c r="H11" s="602"/>
      <c r="I11" s="602"/>
      <c r="J11" s="603" t="s">
        <v>551</v>
      </c>
      <c r="K11" s="263">
        <f>+p0q1</f>
        <v>3352.8</v>
      </c>
      <c r="L11" s="517" t="s">
        <v>549</v>
      </c>
      <c r="P11" s="607">
        <f>SUM(P7:P10)</f>
        <v>0</v>
      </c>
      <c r="Q11" s="606" t="s">
        <v>1988</v>
      </c>
    </row>
    <row r="12" spans="2:17" s="517" customFormat="1" ht="15.75" x14ac:dyDescent="0.2">
      <c r="E12" s="240">
        <v>1168.4000000000001</v>
      </c>
      <c r="F12" s="530" t="s">
        <v>549</v>
      </c>
      <c r="H12" s="602"/>
      <c r="I12" s="602"/>
      <c r="J12" s="603" t="s">
        <v>550</v>
      </c>
      <c r="K12" s="263">
        <f>+P0Q2</f>
        <v>800</v>
      </c>
      <c r="L12" s="517" t="s">
        <v>549</v>
      </c>
    </row>
    <row r="13" spans="2:17" s="517" customFormat="1" ht="15" hidden="1" outlineLevel="1" x14ac:dyDescent="0.2">
      <c r="E13" s="516">
        <f>IF(E12&lt;&gt;0,+E12,+E11*25.4)</f>
        <v>1168.4000000000001</v>
      </c>
      <c r="F13" s="517" t="s">
        <v>310</v>
      </c>
    </row>
    <row r="14" spans="2:17" collapsed="1" x14ac:dyDescent="0.2"/>
    <row r="15" spans="2:17" s="517" customFormat="1" ht="15.75" x14ac:dyDescent="0.2">
      <c r="C15" s="261" t="s">
        <v>914</v>
      </c>
      <c r="D15" s="599" t="s">
        <v>547</v>
      </c>
      <c r="E15" s="241">
        <v>3</v>
      </c>
      <c r="I15" s="602"/>
      <c r="J15" s="602"/>
      <c r="K15" s="604" t="s">
        <v>548</v>
      </c>
    </row>
    <row r="16" spans="2:17" s="517" customFormat="1" ht="15.75" x14ac:dyDescent="0.2">
      <c r="C16" s="261" t="s">
        <v>915</v>
      </c>
      <c r="D16" s="599" t="s">
        <v>737</v>
      </c>
      <c r="E16" s="241" t="s">
        <v>389</v>
      </c>
      <c r="F16" s="601"/>
      <c r="K16" s="264">
        <f>ROUNDUP(K11/2500,0)+1</f>
        <v>3</v>
      </c>
    </row>
    <row r="17" spans="2:11" s="517" customFormat="1" ht="15.75" x14ac:dyDescent="0.2">
      <c r="C17" s="261" t="s">
        <v>916</v>
      </c>
      <c r="D17" s="600" t="s">
        <v>254</v>
      </c>
      <c r="E17" s="241" t="s">
        <v>388</v>
      </c>
      <c r="F17" s="601"/>
    </row>
    <row r="18" spans="2:11" s="517" customFormat="1" ht="15" x14ac:dyDescent="0.2">
      <c r="D18" s="597" t="s">
        <v>716</v>
      </c>
      <c r="E18" s="262" t="str">
        <f>IF(P10Q3&gt;1,"Y","N")</f>
        <v>Y</v>
      </c>
    </row>
    <row r="19" spans="2:11" s="517" customFormat="1" ht="15" x14ac:dyDescent="0.2"/>
    <row r="20" spans="2:11" s="517" customFormat="1" ht="15" customHeight="1" x14ac:dyDescent="0.2">
      <c r="D20" s="869" t="str">
        <f>IF(p10q12=1,"Note: Casters AND Floor Mounting Brackets not possible!",IF(p10q11=1,"Clear one field"," "))</f>
        <v xml:space="preserve"> </v>
      </c>
      <c r="E20" s="869"/>
      <c r="F20" s="869"/>
      <c r="G20" s="869"/>
      <c r="H20" s="869"/>
      <c r="I20" s="869"/>
      <c r="J20" s="869"/>
      <c r="K20" s="869"/>
    </row>
    <row r="21" spans="2:11" s="517" customFormat="1" ht="15" x14ac:dyDescent="0.2">
      <c r="D21" s="609"/>
      <c r="E21" s="609"/>
    </row>
    <row r="22" spans="2:11" s="517" customFormat="1" ht="15" x14ac:dyDescent="0.2"/>
    <row r="23" spans="2:11" s="517" customFormat="1" ht="15" x14ac:dyDescent="0.2"/>
    <row r="24" spans="2:11" s="517" customFormat="1" ht="15" x14ac:dyDescent="0.2"/>
    <row r="25" spans="2:11" s="517" customFormat="1" ht="15" x14ac:dyDescent="0.2"/>
    <row r="26" spans="2:11" s="517" customFormat="1" ht="15" x14ac:dyDescent="0.2"/>
    <row r="27" spans="2:11" s="517" customFormat="1" ht="15" x14ac:dyDescent="0.2"/>
    <row r="28" spans="2:11" s="517" customFormat="1" ht="15" x14ac:dyDescent="0.2"/>
    <row r="29" spans="2:11" s="517" customFormat="1" ht="15" x14ac:dyDescent="0.2"/>
    <row r="30" spans="2:11" s="517" customFormat="1" ht="15" x14ac:dyDescent="0.2"/>
    <row r="31" spans="2:11" ht="15" x14ac:dyDescent="0.2">
      <c r="B31" s="517"/>
      <c r="C31" s="517"/>
    </row>
    <row r="32" spans="2:11" ht="15" x14ac:dyDescent="0.2">
      <c r="B32" s="517"/>
      <c r="C32" s="517"/>
    </row>
    <row r="34" spans="3:3" ht="15" x14ac:dyDescent="0.2">
      <c r="C34" s="649" t="s">
        <v>2080</v>
      </c>
    </row>
    <row r="35" spans="3:3" ht="14.25" x14ac:dyDescent="0.2">
      <c r="C35" s="648" t="s">
        <v>2098</v>
      </c>
    </row>
    <row r="36" spans="3:3" ht="14.25" x14ac:dyDescent="0.2">
      <c r="C36" s="648" t="s">
        <v>2081</v>
      </c>
    </row>
  </sheetData>
  <sheetProtection selectLockedCells="1"/>
  <dataConsolidate/>
  <mergeCells count="2">
    <mergeCell ref="D20:K20"/>
    <mergeCell ref="B6:D7"/>
  </mergeCells>
  <phoneticPr fontId="7" type="noConversion"/>
  <conditionalFormatting sqref="D20">
    <cfRule type="expression" dxfId="24" priority="3" stopIfTrue="1">
      <formula>p10q13&lt;&gt;0</formula>
    </cfRule>
  </conditionalFormatting>
  <conditionalFormatting sqref="E11:E12">
    <cfRule type="expression" dxfId="23" priority="2" stopIfTrue="1">
      <formula>p10q11=1</formula>
    </cfRule>
  </conditionalFormatting>
  <dataValidations count="6">
    <dataValidation allowBlank="1" sqref="E13 E9" xr:uid="{00000000-0002-0000-0700-000000000000}"/>
    <dataValidation type="list" allowBlank="1" showInputMessage="1" showErrorMessage="1" sqref="E17" xr:uid="{00000000-0002-0000-0700-000001000000}">
      <formula1>YesorNo</formula1>
    </dataValidation>
    <dataValidation type="list" allowBlank="1" showErrorMessage="1" promptTitle="Floor Mounting" prompt="with brackets_x000a_26.00.0006_x000a__x000a_(for 55.1 only)" sqref="E16" xr:uid="{00000000-0002-0000-0700-000002000000}">
      <formula1>YesorNo</formula1>
    </dataValidation>
    <dataValidation allowBlank="1" showErrorMessage="1" promptTitle="Stringer" prompt="Profile mk 2040.40_x000a_to tie stands together." sqref="D16 D18" xr:uid="{00000000-0002-0000-0700-000003000000}"/>
    <dataValidation type="decimal" allowBlank="1" showErrorMessage="1" errorTitle="Range" error="Range 14&quot; - 100&quot;" sqref="E11" xr:uid="{00000000-0002-0000-0700-000004000000}">
      <formula1>14</formula1>
      <formula2>100</formula2>
    </dataValidation>
    <dataValidation type="decimal" allowBlank="1" showErrorMessage="1" errorTitle="Range" error="Range 355 - 2540 mm" sqref="E12" xr:uid="{00000000-0002-0000-0700-000005000000}">
      <formula1>355</formula1>
      <formula2>2540</formula2>
    </dataValidation>
  </dataValidations>
  <pageMargins left="0.75" right="0.75" top="0.49" bottom="0.5" header="0.5" footer="0.5"/>
  <pageSetup scale="63" orientation="portrait" r:id="rId1"/>
  <headerFooter alignWithMargins="0">
    <oddFooter>&amp;L&amp;Z&amp;F&amp;R&amp;D</oddFooter>
  </headerFooter>
  <drawing r:id="rId2"/>
  <legacyDrawing r:id="rId3"/>
  <controls>
    <mc:AlternateContent xmlns:mc="http://schemas.openxmlformats.org/markup-compatibility/2006">
      <mc:Choice Requires="x14">
        <control shapeId="23555" r:id="rId4" name="CommandButtonHelpS01">
          <controlPr defaultSize="0" autoLine="0" r:id="rId5">
            <anchor moveWithCells="1">
              <from>
                <xdr:col>9</xdr:col>
                <xdr:colOff>276225</xdr:colOff>
                <xdr:row>1</xdr:row>
                <xdr:rowOff>95250</xdr:rowOff>
              </from>
              <to>
                <xdr:col>10</xdr:col>
                <xdr:colOff>542925</xdr:colOff>
                <xdr:row>3</xdr:row>
                <xdr:rowOff>85725</xdr:rowOff>
              </to>
            </anchor>
          </controlPr>
        </control>
      </mc:Choice>
      <mc:Fallback>
        <control shapeId="23555" r:id="rId4" name="CommandButtonHelpS0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6">
    <pageSetUpPr fitToPage="1"/>
  </sheetPr>
  <dimension ref="B5:L32"/>
  <sheetViews>
    <sheetView showRowColHeaders="0" showOutlineSymbols="0" zoomScaleNormal="100" workbookViewId="0">
      <selection activeCell="G22" sqref="G22"/>
    </sheetView>
  </sheetViews>
  <sheetFormatPr defaultRowHeight="12.75" x14ac:dyDescent="0.2"/>
  <cols>
    <col min="1" max="1" width="10.42578125" style="518" customWidth="1"/>
    <col min="2" max="2" width="27.85546875" style="518" bestFit="1" customWidth="1"/>
    <col min="3" max="3" width="13.5703125" style="518" customWidth="1"/>
    <col min="4" max="4" width="11.5703125" style="518" customWidth="1"/>
    <col min="5" max="5" width="56.7109375" style="518" customWidth="1"/>
    <col min="6" max="6" width="3.5703125" style="518" customWidth="1"/>
    <col min="7" max="7" width="12" style="518" customWidth="1"/>
    <col min="8" max="8" width="1.42578125" style="518" customWidth="1"/>
    <col min="9" max="10" width="9.140625" style="518"/>
    <col min="11" max="12" width="9.140625" style="518" hidden="1" customWidth="1"/>
    <col min="13" max="16384" width="9.140625" style="518"/>
  </cols>
  <sheetData>
    <row r="5" spans="2:8" s="91" customFormat="1" ht="12.75" customHeight="1" thickBot="1" x14ac:dyDescent="0.25">
      <c r="B5" s="788"/>
      <c r="C5" s="788"/>
      <c r="D5" s="788"/>
      <c r="E5" s="788"/>
      <c r="F5" s="788"/>
      <c r="G5" s="788"/>
      <c r="H5" s="788"/>
    </row>
    <row r="6" spans="2:8" ht="13.15" customHeight="1" thickTop="1" x14ac:dyDescent="0.2">
      <c r="B6" s="819" t="s">
        <v>2110</v>
      </c>
      <c r="C6" s="819"/>
    </row>
    <row r="7" spans="2:8" ht="12.75" customHeight="1" x14ac:dyDescent="0.2">
      <c r="B7" s="819"/>
      <c r="C7" s="819"/>
    </row>
    <row r="8" spans="2:8" s="517" customFormat="1" ht="15" x14ac:dyDescent="0.2">
      <c r="B8" s="568"/>
      <c r="C8" s="568"/>
      <c r="D8" s="518"/>
      <c r="E8" s="517" t="s">
        <v>2111</v>
      </c>
    </row>
    <row r="9" spans="2:8" s="517" customFormat="1" ht="15" x14ac:dyDescent="0.2">
      <c r="C9" s="518"/>
      <c r="D9" s="518"/>
    </row>
    <row r="10" spans="2:8" s="517" customFormat="1" ht="15" x14ac:dyDescent="0.2">
      <c r="C10" s="518"/>
      <c r="D10" s="518"/>
      <c r="E10" s="517" t="s">
        <v>2112</v>
      </c>
    </row>
    <row r="11" spans="2:8" s="517" customFormat="1" ht="15" x14ac:dyDescent="0.2">
      <c r="C11" s="518"/>
      <c r="D11" s="518"/>
    </row>
    <row r="12" spans="2:8" s="517" customFormat="1" ht="15" x14ac:dyDescent="0.2">
      <c r="C12" s="518"/>
      <c r="D12" s="518"/>
      <c r="E12" s="517" t="s">
        <v>2113</v>
      </c>
    </row>
    <row r="13" spans="2:8" s="517" customFormat="1" ht="15" x14ac:dyDescent="0.2">
      <c r="E13" s="517" t="s">
        <v>2114</v>
      </c>
    </row>
    <row r="14" spans="2:8" s="517" customFormat="1" ht="15" x14ac:dyDescent="0.2">
      <c r="E14" s="517" t="s">
        <v>2115</v>
      </c>
    </row>
    <row r="15" spans="2:8" s="517" customFormat="1" ht="15" x14ac:dyDescent="0.2">
      <c r="E15" s="517" t="s">
        <v>2116</v>
      </c>
    </row>
    <row r="16" spans="2:8" s="517" customFormat="1" ht="15" x14ac:dyDescent="0.2">
      <c r="E16" s="517" t="s">
        <v>2117</v>
      </c>
    </row>
    <row r="17" spans="2:12" s="517" customFormat="1" ht="15" x14ac:dyDescent="0.2">
      <c r="E17" s="517" t="s">
        <v>2118</v>
      </c>
    </row>
    <row r="18" spans="2:12" s="517" customFormat="1" ht="15" x14ac:dyDescent="0.2">
      <c r="E18" s="517" t="s">
        <v>2119</v>
      </c>
    </row>
    <row r="19" spans="2:12" s="517" customFormat="1" ht="15" x14ac:dyDescent="0.2">
      <c r="E19" s="517" t="s">
        <v>2120</v>
      </c>
    </row>
    <row r="20" spans="2:12" s="517" customFormat="1" ht="15" x14ac:dyDescent="0.2"/>
    <row r="21" spans="2:12" s="517" customFormat="1" ht="15" x14ac:dyDescent="0.2">
      <c r="D21" s="529"/>
    </row>
    <row r="22" spans="2:12" s="517" customFormat="1" ht="15" x14ac:dyDescent="0.2">
      <c r="B22" s="871" t="s">
        <v>2145</v>
      </c>
      <c r="C22" s="871"/>
      <c r="D22" s="871"/>
      <c r="E22" s="871"/>
      <c r="F22" s="603"/>
      <c r="G22" s="521" t="s">
        <v>389</v>
      </c>
    </row>
    <row r="23" spans="2:12" ht="15" x14ac:dyDescent="0.2">
      <c r="D23" s="529"/>
    </row>
    <row r="24" spans="2:12" ht="13.15" customHeight="1" x14ac:dyDescent="0.2">
      <c r="B24" s="819" t="s">
        <v>2121</v>
      </c>
      <c r="C24" s="819"/>
    </row>
    <row r="25" spans="2:12" ht="12.75" customHeight="1" x14ac:dyDescent="0.2">
      <c r="B25" s="819"/>
      <c r="C25" s="819"/>
    </row>
    <row r="26" spans="2:12" ht="15" x14ac:dyDescent="0.2">
      <c r="E26" s="517" t="s">
        <v>2122</v>
      </c>
    </row>
    <row r="27" spans="2:12" ht="15" x14ac:dyDescent="0.2">
      <c r="E27" s="517" t="s">
        <v>2123</v>
      </c>
    </row>
    <row r="29" spans="2:12" ht="15" x14ac:dyDescent="0.2">
      <c r="E29" s="667" t="s">
        <v>2124</v>
      </c>
      <c r="G29" s="521" t="s">
        <v>389</v>
      </c>
      <c r="K29" s="517">
        <f>IF(Option_02="Yes",1,)</f>
        <v>0</v>
      </c>
    </row>
    <row r="31" spans="2:12" ht="15" x14ac:dyDescent="0.2">
      <c r="E31" s="667" t="s">
        <v>2125</v>
      </c>
      <c r="G31" s="521" t="s">
        <v>389</v>
      </c>
      <c r="K31" s="517">
        <f>IF(Option_03="Yes",1,)</f>
        <v>0</v>
      </c>
    </row>
    <row r="32" spans="2:12" x14ac:dyDescent="0.2">
      <c r="K32" s="514">
        <f>SUM(K22:K31)</f>
        <v>0</v>
      </c>
      <c r="L32" s="605" t="s">
        <v>2144</v>
      </c>
    </row>
  </sheetData>
  <sheetProtection algorithmName="SHA-512" hashValue="V/XdzXe63lCNqfH62THoY4y/JaZ+t83a7ZNRJbpkYWJc+5w1aMafaEUmJKNXLiPkIwxI//UvsCFHd+NRWBuwCw==" saltValue="xSwsV5nlpN5YfU63Hr02Vw==" spinCount="100000" sheet="1" objects="1" scenarios="1" selectLockedCells="1"/>
  <dataConsolidate/>
  <mergeCells count="3">
    <mergeCell ref="B6:C7"/>
    <mergeCell ref="B22:E22"/>
    <mergeCell ref="B24:C25"/>
  </mergeCells>
  <dataValidations count="1">
    <dataValidation type="list" allowBlank="1" promptTitle="Motor" prompt="N/A if no motor requested_x000a_" sqref="G22 G29 G31" xr:uid="{00000000-0002-0000-0800-000000000000}">
      <formula1>YesorNo</formula1>
    </dataValidation>
  </dataValidations>
  <pageMargins left="0.75" right="0.75" top="0.49" bottom="0.5" header="0.5" footer="0.5"/>
  <pageSetup scale="58" orientation="portrait" r:id="rId1"/>
  <headerFooter alignWithMargins="0">
    <oddFooter>&amp;L&amp;Z&amp;F&amp;R&amp;D</oddFooter>
  </headerFooter>
  <drawing r:id="rId2"/>
  <legacyDrawing r:id="rId3"/>
  <controls>
    <mc:AlternateContent xmlns:mc="http://schemas.openxmlformats.org/markup-compatibility/2006">
      <mc:Choice Requires="x14">
        <control shapeId="319489" r:id="rId4" name="CommandButtonHelpR01">
          <controlPr defaultSize="0" autoLine="0" r:id="rId5">
            <anchor moveWithCells="1">
              <from>
                <xdr:col>6</xdr:col>
                <xdr:colOff>66675</xdr:colOff>
                <xdr:row>2</xdr:row>
                <xdr:rowOff>0</xdr:rowOff>
              </from>
              <to>
                <xdr:col>6</xdr:col>
                <xdr:colOff>762000</xdr:colOff>
                <xdr:row>3</xdr:row>
                <xdr:rowOff>152400</xdr:rowOff>
              </to>
            </anchor>
          </controlPr>
        </control>
      </mc:Choice>
      <mc:Fallback>
        <control shapeId="319489" r:id="rId4" name="CommandButtonHelpR0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>
    <pageSetUpPr fitToPage="1"/>
  </sheetPr>
  <dimension ref="B5:R54"/>
  <sheetViews>
    <sheetView showOutlineSymbols="0" zoomScaleNormal="95" workbookViewId="0">
      <selection activeCell="K9" sqref="K9"/>
    </sheetView>
  </sheetViews>
  <sheetFormatPr defaultRowHeight="12.75" x14ac:dyDescent="0.2"/>
  <cols>
    <col min="1" max="1" width="2.85546875" style="518" customWidth="1"/>
    <col min="2" max="2" width="4.140625" style="518" bestFit="1" customWidth="1"/>
    <col min="3" max="3" width="10.85546875" style="518" bestFit="1" customWidth="1"/>
    <col min="4" max="4" width="5.5703125" style="518" customWidth="1"/>
    <col min="5" max="5" width="1.5703125" style="518" customWidth="1"/>
    <col min="6" max="6" width="12.28515625" style="518" customWidth="1"/>
    <col min="7" max="7" width="1.28515625" style="518" customWidth="1"/>
    <col min="8" max="8" width="46.5703125" style="518" customWidth="1"/>
    <col min="9" max="9" width="8.140625" style="518" customWidth="1"/>
    <col min="10" max="10" width="7.42578125" style="518" bestFit="1" customWidth="1"/>
    <col min="11" max="11" width="13" style="518" customWidth="1"/>
    <col min="12" max="12" width="1.5703125" style="518" customWidth="1"/>
    <col min="13" max="13" width="12.85546875" style="518" bestFit="1" customWidth="1"/>
    <col min="14" max="14" width="36.5703125" style="518" bestFit="1" customWidth="1"/>
    <col min="15" max="15" width="12.85546875" style="518" bestFit="1" customWidth="1"/>
    <col min="16" max="16384" width="9.140625" style="518"/>
  </cols>
  <sheetData>
    <row r="5" spans="2:18" s="91" customFormat="1" ht="12.75" customHeight="1" thickBot="1" x14ac:dyDescent="0.25">
      <c r="B5" s="788"/>
      <c r="C5" s="788"/>
      <c r="D5" s="788"/>
      <c r="E5" s="788"/>
      <c r="F5" s="788"/>
      <c r="G5" s="788"/>
      <c r="H5" s="788"/>
      <c r="I5" s="788"/>
      <c r="J5" s="788"/>
      <c r="K5" s="788"/>
      <c r="L5" s="788"/>
    </row>
    <row r="6" spans="2:18" ht="13.15" customHeight="1" thickTop="1" x14ac:dyDescent="0.3">
      <c r="B6" s="819" t="s">
        <v>886</v>
      </c>
      <c r="C6" s="819"/>
      <c r="D6" s="819"/>
      <c r="E6" s="819"/>
      <c r="F6" s="819"/>
      <c r="G6" s="819"/>
      <c r="I6" s="531"/>
      <c r="K6" s="531"/>
    </row>
    <row r="7" spans="2:18" ht="12.75" customHeight="1" x14ac:dyDescent="0.3">
      <c r="B7" s="819"/>
      <c r="C7" s="819"/>
      <c r="D7" s="819"/>
      <c r="E7" s="819"/>
      <c r="F7" s="819"/>
      <c r="G7" s="819"/>
      <c r="I7" s="531"/>
      <c r="K7" s="531"/>
      <c r="M7" s="517"/>
      <c r="N7" s="517"/>
      <c r="O7" s="517"/>
      <c r="P7" s="517"/>
      <c r="Q7" s="517"/>
      <c r="R7" s="517"/>
    </row>
    <row r="8" spans="2:18" ht="15" x14ac:dyDescent="0.2">
      <c r="M8" s="517"/>
      <c r="N8" s="517"/>
      <c r="O8" s="809"/>
      <c r="P8" s="517"/>
      <c r="Q8" s="517"/>
      <c r="R8" s="517"/>
    </row>
    <row r="9" spans="2:18" s="517" customFormat="1" ht="15.75" x14ac:dyDescent="0.2">
      <c r="B9" s="628" t="s">
        <v>912</v>
      </c>
      <c r="C9" s="527" t="s">
        <v>887</v>
      </c>
      <c r="D9" s="527"/>
      <c r="E9" s="527"/>
      <c r="F9" s="527"/>
      <c r="G9" s="528"/>
      <c r="H9" s="240"/>
      <c r="I9" s="518"/>
      <c r="J9" s="517" t="s">
        <v>2099</v>
      </c>
      <c r="K9" s="808"/>
      <c r="M9" s="664">
        <f>Yushin_Net</f>
        <v>4160</v>
      </c>
      <c r="N9" s="811" t="s">
        <v>2130</v>
      </c>
      <c r="O9" s="810"/>
    </row>
    <row r="10" spans="2:18" s="517" customFormat="1" ht="15" x14ac:dyDescent="0.2">
      <c r="M10" s="663">
        <f>+Yushin_Markup</f>
        <v>1.57</v>
      </c>
      <c r="N10" s="811" t="s">
        <v>2095</v>
      </c>
    </row>
    <row r="11" spans="2:18" s="517" customFormat="1" ht="15.75" x14ac:dyDescent="0.2">
      <c r="B11" s="628" t="s">
        <v>914</v>
      </c>
      <c r="C11" s="527" t="s">
        <v>591</v>
      </c>
      <c r="D11" s="527"/>
      <c r="E11" s="527"/>
      <c r="F11" s="527"/>
      <c r="G11" s="528"/>
      <c r="H11" s="238"/>
      <c r="I11" s="518"/>
      <c r="K11" s="518"/>
      <c r="M11" s="664">
        <f>+M10*M9</f>
        <v>6531.2</v>
      </c>
      <c r="N11" s="811" t="s">
        <v>2134</v>
      </c>
      <c r="O11" s="810"/>
    </row>
    <row r="12" spans="2:18" s="517" customFormat="1" ht="15" x14ac:dyDescent="0.2">
      <c r="M12" s="664">
        <f>IF(Option_01="Yes",195,0)*1.06</f>
        <v>0</v>
      </c>
      <c r="N12" s="811" t="s">
        <v>2133</v>
      </c>
      <c r="O12" s="810"/>
    </row>
    <row r="13" spans="2:18" s="517" customFormat="1" ht="15.75" x14ac:dyDescent="0.2">
      <c r="B13" s="628" t="s">
        <v>915</v>
      </c>
      <c r="C13" s="527" t="s">
        <v>585</v>
      </c>
      <c r="D13" s="238"/>
      <c r="F13" s="238"/>
      <c r="G13" s="528"/>
      <c r="H13" s="240"/>
      <c r="I13" s="518"/>
      <c r="K13" s="518"/>
      <c r="M13" s="664">
        <f>IF(Option_02="Yes",395,0)*1.06</f>
        <v>0</v>
      </c>
      <c r="N13" s="811" t="s">
        <v>2131</v>
      </c>
      <c r="O13" s="810"/>
    </row>
    <row r="14" spans="2:18" s="517" customFormat="1" ht="15" x14ac:dyDescent="0.2">
      <c r="M14" s="664">
        <f>IF(Option_03="Yes",195,0)*1.06</f>
        <v>0</v>
      </c>
      <c r="N14" s="811" t="s">
        <v>2132</v>
      </c>
      <c r="O14" s="810"/>
    </row>
    <row r="15" spans="2:18" s="517" customFormat="1" ht="15.75" x14ac:dyDescent="0.2">
      <c r="B15" s="628" t="s">
        <v>916</v>
      </c>
      <c r="C15" s="527" t="s">
        <v>586</v>
      </c>
      <c r="D15" s="527"/>
      <c r="E15" s="527"/>
      <c r="F15" s="527"/>
      <c r="G15" s="528"/>
      <c r="H15" s="240"/>
      <c r="K15" s="518"/>
      <c r="M15" s="670">
        <f>Net_to_Customer</f>
        <v>6531.2</v>
      </c>
      <c r="N15" s="811" t="s">
        <v>862</v>
      </c>
      <c r="O15" s="810"/>
    </row>
    <row r="16" spans="2:18" s="517" customFormat="1" ht="15" x14ac:dyDescent="0.2">
      <c r="I16" s="518"/>
      <c r="K16" s="518"/>
    </row>
    <row r="17" spans="2:14" s="517" customFormat="1" ht="15.75" x14ac:dyDescent="0.2">
      <c r="B17" s="628" t="s">
        <v>917</v>
      </c>
      <c r="C17" s="527" t="s">
        <v>587</v>
      </c>
      <c r="D17" s="527"/>
      <c r="E17" s="527"/>
      <c r="F17" s="527"/>
      <c r="G17" s="528"/>
      <c r="H17" s="240"/>
      <c r="I17" s="518"/>
      <c r="K17" s="518"/>
      <c r="M17" s="671" t="s">
        <v>2080</v>
      </c>
      <c r="N17" s="663" t="s">
        <v>2135</v>
      </c>
    </row>
    <row r="18" spans="2:14" s="517" customFormat="1" ht="15" x14ac:dyDescent="0.2">
      <c r="H18" s="240"/>
      <c r="I18" s="630"/>
      <c r="K18" s="630"/>
    </row>
    <row r="19" spans="2:14" s="517" customFormat="1" ht="15" x14ac:dyDescent="0.2">
      <c r="H19" s="240"/>
    </row>
    <row r="20" spans="2:14" s="517" customFormat="1" ht="15" x14ac:dyDescent="0.2">
      <c r="H20" s="240"/>
    </row>
    <row r="21" spans="2:14" s="517" customFormat="1" ht="15" x14ac:dyDescent="0.2"/>
    <row r="22" spans="2:14" s="517" customFormat="1" ht="15.75" x14ac:dyDescent="0.2">
      <c r="B22" s="628" t="s">
        <v>920</v>
      </c>
      <c r="C22" s="527" t="s">
        <v>588</v>
      </c>
      <c r="D22" s="527"/>
      <c r="E22" s="527"/>
      <c r="F22" s="527"/>
      <c r="G22" s="528"/>
      <c r="H22" s="242"/>
      <c r="I22" s="518"/>
      <c r="K22" s="518"/>
    </row>
    <row r="23" spans="2:14" s="517" customFormat="1" ht="15" x14ac:dyDescent="0.2">
      <c r="C23" s="527" t="s">
        <v>589</v>
      </c>
      <c r="D23" s="527"/>
      <c r="E23" s="527"/>
      <c r="F23" s="527"/>
      <c r="G23" s="528"/>
      <c r="H23" s="242"/>
      <c r="I23" s="518"/>
      <c r="K23" s="518"/>
    </row>
    <row r="24" spans="2:14" s="517" customFormat="1" ht="15" x14ac:dyDescent="0.2">
      <c r="C24" s="527" t="s">
        <v>590</v>
      </c>
      <c r="D24" s="527"/>
      <c r="E24" s="527"/>
      <c r="F24" s="527"/>
      <c r="G24" s="528"/>
      <c r="H24" s="651"/>
      <c r="I24" s="518"/>
      <c r="K24" s="518"/>
    </row>
    <row r="25" spans="2:14" s="517" customFormat="1" ht="15" x14ac:dyDescent="0.2">
      <c r="H25" s="630"/>
      <c r="I25" s="630"/>
      <c r="K25" s="518"/>
    </row>
    <row r="26" spans="2:14" s="517" customFormat="1" ht="15.75" x14ac:dyDescent="0.2">
      <c r="B26" s="628" t="s">
        <v>921</v>
      </c>
      <c r="C26" s="527" t="s">
        <v>883</v>
      </c>
      <c r="D26" s="872" t="s">
        <v>2310</v>
      </c>
      <c r="E26" s="873"/>
      <c r="F26" s="873"/>
      <c r="G26" s="873"/>
      <c r="H26" s="874"/>
    </row>
    <row r="27" spans="2:14" s="517" customFormat="1" ht="15" x14ac:dyDescent="0.2">
      <c r="D27" s="875"/>
      <c r="E27" s="876"/>
      <c r="F27" s="876"/>
      <c r="G27" s="876"/>
      <c r="H27" s="877"/>
    </row>
    <row r="28" spans="2:14" s="517" customFormat="1" ht="15" x14ac:dyDescent="0.2">
      <c r="D28" s="875"/>
      <c r="E28" s="876"/>
      <c r="F28" s="876"/>
      <c r="G28" s="876"/>
      <c r="H28" s="877"/>
    </row>
    <row r="29" spans="2:14" s="517" customFormat="1" ht="15" x14ac:dyDescent="0.2">
      <c r="D29" s="875"/>
      <c r="E29" s="876"/>
      <c r="F29" s="876"/>
      <c r="G29" s="876"/>
      <c r="H29" s="877"/>
    </row>
    <row r="30" spans="2:14" s="517" customFormat="1" ht="15" x14ac:dyDescent="0.2">
      <c r="D30" s="878"/>
      <c r="E30" s="879"/>
      <c r="F30" s="879"/>
      <c r="G30" s="879"/>
      <c r="H30" s="880"/>
    </row>
    <row r="31" spans="2:14" s="517" customFormat="1" ht="15" x14ac:dyDescent="0.2">
      <c r="D31" s="881" t="s">
        <v>884</v>
      </c>
      <c r="E31" s="881"/>
      <c r="F31" s="881"/>
      <c r="G31" s="881"/>
      <c r="H31" s="881"/>
      <c r="I31" s="608"/>
      <c r="J31" s="608"/>
      <c r="K31" s="608"/>
      <c r="L31" s="608"/>
    </row>
    <row r="32" spans="2:14" s="517" customFormat="1" ht="15" x14ac:dyDescent="0.2"/>
    <row r="33" spans="2:8" s="517" customFormat="1" ht="15.75" x14ac:dyDescent="0.2">
      <c r="B33" s="628" t="s">
        <v>922</v>
      </c>
      <c r="C33" s="633" t="s">
        <v>2090</v>
      </c>
      <c r="D33" s="882"/>
      <c r="E33" s="883"/>
      <c r="F33" s="883"/>
      <c r="G33" s="883"/>
      <c r="H33" s="884"/>
    </row>
    <row r="34" spans="2:8" s="517" customFormat="1" ht="15" x14ac:dyDescent="0.2"/>
    <row r="35" spans="2:8" s="517" customFormat="1" ht="15" x14ac:dyDescent="0.2"/>
    <row r="36" spans="2:8" s="517" customFormat="1" ht="15" x14ac:dyDescent="0.2"/>
    <row r="37" spans="2:8" s="517" customFormat="1" ht="15" x14ac:dyDescent="0.2"/>
    <row r="38" spans="2:8" s="517" customFormat="1" ht="15" x14ac:dyDescent="0.2"/>
    <row r="39" spans="2:8" s="517" customFormat="1" ht="15" x14ac:dyDescent="0.2"/>
    <row r="40" spans="2:8" s="517" customFormat="1" ht="15" x14ac:dyDescent="0.2"/>
    <row r="41" spans="2:8" s="517" customFormat="1" ht="15" x14ac:dyDescent="0.2"/>
    <row r="42" spans="2:8" s="517" customFormat="1" ht="15" x14ac:dyDescent="0.2"/>
    <row r="43" spans="2:8" s="517" customFormat="1" ht="15" x14ac:dyDescent="0.2"/>
    <row r="44" spans="2:8" s="517" customFormat="1" ht="15" x14ac:dyDescent="0.2"/>
    <row r="45" spans="2:8" s="517" customFormat="1" ht="15" x14ac:dyDescent="0.2"/>
    <row r="46" spans="2:8" s="517" customFormat="1" ht="15" x14ac:dyDescent="0.2"/>
    <row r="47" spans="2:8" s="517" customFormat="1" ht="15" x14ac:dyDescent="0.2"/>
    <row r="48" spans="2:8" s="517" customFormat="1" ht="15" x14ac:dyDescent="0.2"/>
    <row r="49" spans="7:11" s="517" customFormat="1" ht="15" x14ac:dyDescent="0.2"/>
    <row r="50" spans="7:11" s="517" customFormat="1" ht="15" x14ac:dyDescent="0.2"/>
    <row r="51" spans="7:11" s="517" customFormat="1" ht="15" x14ac:dyDescent="0.2"/>
    <row r="52" spans="7:11" s="517" customFormat="1" ht="15" x14ac:dyDescent="0.2"/>
    <row r="53" spans="7:11" ht="15" x14ac:dyDescent="0.2">
      <c r="G53" s="517"/>
      <c r="H53" s="517"/>
      <c r="I53" s="517"/>
      <c r="K53" s="517"/>
    </row>
    <row r="54" spans="7:11" ht="15" x14ac:dyDescent="0.2">
      <c r="G54" s="517"/>
      <c r="H54" s="517"/>
      <c r="I54" s="517"/>
      <c r="K54" s="517"/>
    </row>
  </sheetData>
  <sheetProtection algorithmName="SHA-512" hashValue="+X0kzQkfREMyHVhkOfPs21/A/d8eZTDLfYmPxxKWFS6JXQIlYJ6WoWMByw6uQIeGASjZwuB6kZpWeMcb39y1nw==" saltValue="OVN2eC4slnxFNiMS4lIIOQ==" spinCount="100000" sheet="1" objects="1" scenarios="1" selectLockedCells="1"/>
  <dataConsolidate/>
  <mergeCells count="4">
    <mergeCell ref="B6:G7"/>
    <mergeCell ref="D26:H30"/>
    <mergeCell ref="D31:H31"/>
    <mergeCell ref="D33:H33"/>
  </mergeCells>
  <phoneticPr fontId="7" type="noConversion"/>
  <conditionalFormatting sqref="M9:N11">
    <cfRule type="expression" dxfId="22" priority="13" stopIfTrue="1">
      <formula>$K$9="Cranston"</formula>
    </cfRule>
  </conditionalFormatting>
  <conditionalFormatting sqref="N12:N15">
    <cfRule type="expression" dxfId="21" priority="11" stopIfTrue="1">
      <formula>$K$9="Cranston"</formula>
    </cfRule>
  </conditionalFormatting>
  <conditionalFormatting sqref="M15">
    <cfRule type="expression" dxfId="20" priority="10" stopIfTrue="1">
      <formula>$K$9="Cranston"</formula>
    </cfRule>
  </conditionalFormatting>
  <conditionalFormatting sqref="M12">
    <cfRule type="expression" dxfId="19" priority="9" stopIfTrue="1">
      <formula>$K$9="Cranston"</formula>
    </cfRule>
  </conditionalFormatting>
  <conditionalFormatting sqref="M12">
    <cfRule type="expression" dxfId="18" priority="8" stopIfTrue="1">
      <formula>$K$9="Cranston"</formula>
    </cfRule>
  </conditionalFormatting>
  <conditionalFormatting sqref="M13">
    <cfRule type="expression" dxfId="17" priority="7" stopIfTrue="1">
      <formula>$K$9="Cranston"</formula>
    </cfRule>
  </conditionalFormatting>
  <conditionalFormatting sqref="M13">
    <cfRule type="expression" dxfId="16" priority="6" stopIfTrue="1">
      <formula>$K$9="Cranston"</formula>
    </cfRule>
  </conditionalFormatting>
  <conditionalFormatting sqref="M14">
    <cfRule type="expression" dxfId="15" priority="5" stopIfTrue="1">
      <formula>$K$9="Cranston"</formula>
    </cfRule>
  </conditionalFormatting>
  <conditionalFormatting sqref="M14">
    <cfRule type="expression" dxfId="14" priority="4" stopIfTrue="1">
      <formula>$K$9="Cranston"</formula>
    </cfRule>
  </conditionalFormatting>
  <conditionalFormatting sqref="N15">
    <cfRule type="expression" dxfId="13" priority="3" stopIfTrue="1">
      <formula>$K$9="Cranston"</formula>
    </cfRule>
  </conditionalFormatting>
  <conditionalFormatting sqref="M17">
    <cfRule type="expression" dxfId="12" priority="2" stopIfTrue="1">
      <formula>$K$9="Cranston"</formula>
    </cfRule>
  </conditionalFormatting>
  <conditionalFormatting sqref="N17">
    <cfRule type="expression" dxfId="11" priority="1" stopIfTrue="1">
      <formula>$K$9="Cranston"</formula>
    </cfRule>
  </conditionalFormatting>
  <dataValidations disablePrompts="1" count="1">
    <dataValidation allowBlank="1" sqref="D33 H22:H24 H17:H20 H9 H11 H15 H13" xr:uid="{00000000-0002-0000-0900-000000000000}"/>
  </dataValidations>
  <pageMargins left="0.75" right="0.75" top="0.49" bottom="0.5" header="0.5" footer="0.5"/>
  <pageSetup scale="43" orientation="portrait" r:id="rId1"/>
  <headerFooter alignWithMargins="0">
    <oddFooter>&amp;L&amp;Z&amp;F&amp;R&amp;D</oddFooter>
  </headerFooter>
  <drawing r:id="rId2"/>
  <legacyDrawing r:id="rId3"/>
  <controls>
    <mc:AlternateContent xmlns:mc="http://schemas.openxmlformats.org/markup-compatibility/2006">
      <mc:Choice Requires="x14">
        <control shapeId="14343" r:id="rId4" name="CommandButton122">
          <controlPr defaultSize="0" autoLine="0" r:id="rId5">
            <anchor moveWithCells="1">
              <from>
                <xdr:col>7</xdr:col>
                <xdr:colOff>2743200</xdr:colOff>
                <xdr:row>2</xdr:row>
                <xdr:rowOff>9525</xdr:rowOff>
              </from>
              <to>
                <xdr:col>8</xdr:col>
                <xdr:colOff>333375</xdr:colOff>
                <xdr:row>4</xdr:row>
                <xdr:rowOff>0</xdr:rowOff>
              </to>
            </anchor>
          </controlPr>
        </control>
      </mc:Choice>
      <mc:Fallback>
        <control shapeId="14343" r:id="rId4" name="CommandButton122"/>
      </mc:Fallback>
    </mc:AlternateContent>
    <mc:AlternateContent xmlns:mc="http://schemas.openxmlformats.org/markup-compatibility/2006">
      <mc:Choice Requires="x14">
        <control shapeId="14338" r:id="rId6" name="CommandButton121">
          <controlPr defaultSize="0" autoLine="0" r:id="rId7">
            <anchor moveWithCells="1">
              <from>
                <xdr:col>8</xdr:col>
                <xdr:colOff>400050</xdr:colOff>
                <xdr:row>2</xdr:row>
                <xdr:rowOff>9525</xdr:rowOff>
              </from>
              <to>
                <xdr:col>10</xdr:col>
                <xdr:colOff>57150</xdr:colOff>
                <xdr:row>4</xdr:row>
                <xdr:rowOff>0</xdr:rowOff>
              </to>
            </anchor>
          </controlPr>
        </control>
      </mc:Choice>
      <mc:Fallback>
        <control shapeId="14338" r:id="rId6" name="CommandButton12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2:O154"/>
  <sheetViews>
    <sheetView showOutlineSymbols="0" view="pageBreakPreview" topLeftCell="A55" zoomScaleNormal="100" zoomScaleSheetLayoutView="100" workbookViewId="0">
      <selection activeCell="T56" sqref="T56"/>
    </sheetView>
  </sheetViews>
  <sheetFormatPr defaultRowHeight="14.25" x14ac:dyDescent="0.2"/>
  <cols>
    <col min="1" max="1" width="2.85546875" style="675" customWidth="1"/>
    <col min="2" max="2" width="5.28515625" style="675" customWidth="1"/>
    <col min="3" max="3" width="6.140625" style="675" bestFit="1" customWidth="1"/>
    <col min="4" max="4" width="3.7109375" style="675" customWidth="1"/>
    <col min="5" max="5" width="3.85546875" style="675" bestFit="1" customWidth="1"/>
    <col min="6" max="6" width="8.85546875" style="675" customWidth="1"/>
    <col min="7" max="7" width="3.7109375" style="675" bestFit="1" customWidth="1"/>
    <col min="8" max="9" width="3.7109375" style="675" customWidth="1"/>
    <col min="10" max="10" width="7.85546875" style="675" bestFit="1" customWidth="1"/>
    <col min="11" max="12" width="5.7109375" style="675" bestFit="1" customWidth="1"/>
    <col min="13" max="13" width="14.85546875" style="675" customWidth="1"/>
    <col min="14" max="14" width="8.7109375" style="675" customWidth="1"/>
    <col min="15" max="15" width="14" style="675" customWidth="1"/>
    <col min="16" max="16384" width="9.140625" style="675"/>
  </cols>
  <sheetData>
    <row r="2" spans="1:15" ht="15" x14ac:dyDescent="0.2">
      <c r="A2" s="673"/>
      <c r="B2" s="673"/>
      <c r="C2" s="674"/>
      <c r="D2" s="674"/>
      <c r="E2" s="674"/>
      <c r="F2" s="674"/>
      <c r="G2" s="674"/>
      <c r="H2" s="674"/>
      <c r="I2" s="674"/>
      <c r="J2" s="674"/>
      <c r="K2" s="674"/>
      <c r="L2" s="891" t="s">
        <v>2057</v>
      </c>
      <c r="M2" s="891"/>
      <c r="N2" s="891" t="s">
        <v>2059</v>
      </c>
      <c r="O2" s="891"/>
    </row>
    <row r="3" spans="1:15" ht="15" x14ac:dyDescent="0.2">
      <c r="A3" s="673"/>
      <c r="B3" s="673"/>
      <c r="C3" s="674"/>
      <c r="D3" s="674"/>
      <c r="E3" s="674"/>
      <c r="F3" s="674"/>
      <c r="G3" s="674"/>
      <c r="H3" s="674"/>
      <c r="I3" s="674"/>
      <c r="J3" s="674"/>
      <c r="K3" s="674"/>
      <c r="L3" s="891" t="s">
        <v>2058</v>
      </c>
      <c r="M3" s="891"/>
      <c r="N3" s="891" t="s">
        <v>2060</v>
      </c>
      <c r="O3" s="891"/>
    </row>
    <row r="4" spans="1:15" ht="15" x14ac:dyDescent="0.2">
      <c r="A4" s="673"/>
      <c r="B4" s="673"/>
      <c r="C4" s="674"/>
      <c r="D4" s="674"/>
      <c r="E4" s="674"/>
      <c r="F4" s="674"/>
      <c r="G4" s="674"/>
      <c r="H4" s="674"/>
      <c r="I4" s="674"/>
      <c r="J4" s="674"/>
      <c r="K4" s="674"/>
      <c r="L4" s="892" t="s">
        <v>2085</v>
      </c>
      <c r="M4" s="892"/>
      <c r="N4" s="892" t="s">
        <v>2062</v>
      </c>
      <c r="O4" s="892"/>
    </row>
    <row r="5" spans="1:15" ht="15.75" thickBot="1" x14ac:dyDescent="0.25">
      <c r="A5" s="791"/>
      <c r="B5" s="791"/>
      <c r="C5" s="791"/>
      <c r="D5" s="791"/>
      <c r="E5" s="791"/>
      <c r="F5" s="791"/>
      <c r="G5" s="791"/>
      <c r="H5" s="791"/>
      <c r="I5" s="791"/>
      <c r="J5" s="791"/>
      <c r="K5" s="791"/>
      <c r="L5" s="791"/>
      <c r="M5" s="791"/>
      <c r="N5" s="791"/>
      <c r="O5" s="791"/>
    </row>
    <row r="6" spans="1:15" ht="13.15" customHeight="1" thickTop="1" x14ac:dyDescent="0.2">
      <c r="A6" s="673"/>
      <c r="B6" s="673"/>
      <c r="C6" s="899" t="str">
        <f>+"Proposal # "&amp;info2</f>
        <v xml:space="preserve">Proposal # </v>
      </c>
      <c r="D6" s="899"/>
      <c r="E6" s="899"/>
      <c r="F6" s="899"/>
      <c r="G6" s="899"/>
      <c r="H6" s="899"/>
      <c r="I6" s="899"/>
      <c r="J6" s="899"/>
      <c r="K6" s="674"/>
      <c r="L6" s="674"/>
      <c r="M6" s="674"/>
      <c r="N6" s="673"/>
      <c r="O6" s="673"/>
    </row>
    <row r="7" spans="1:15" ht="12.75" customHeight="1" x14ac:dyDescent="0.2">
      <c r="A7" s="673"/>
      <c r="B7" s="673"/>
      <c r="C7" s="899"/>
      <c r="D7" s="899"/>
      <c r="E7" s="899"/>
      <c r="F7" s="899"/>
      <c r="G7" s="899"/>
      <c r="H7" s="899"/>
      <c r="I7" s="899"/>
      <c r="J7" s="899"/>
      <c r="K7" s="674"/>
      <c r="L7" s="674"/>
      <c r="M7" s="674"/>
      <c r="N7" s="673"/>
      <c r="O7" s="673"/>
    </row>
    <row r="8" spans="1:15" ht="15" x14ac:dyDescent="0.2">
      <c r="A8" s="673"/>
      <c r="B8" s="673"/>
      <c r="C8" s="673"/>
      <c r="D8" s="673"/>
      <c r="E8" s="673"/>
      <c r="F8" s="673"/>
      <c r="G8" s="673"/>
      <c r="H8" s="673"/>
      <c r="I8" s="673"/>
      <c r="J8" s="673"/>
      <c r="K8" s="673"/>
      <c r="L8" s="673"/>
      <c r="M8" s="673"/>
      <c r="N8" s="673"/>
      <c r="O8" s="673"/>
    </row>
    <row r="9" spans="1:15" ht="15" x14ac:dyDescent="0.2">
      <c r="A9" s="673"/>
      <c r="B9" s="673"/>
      <c r="C9" s="900">
        <f ca="1">TODAY()</f>
        <v>45222</v>
      </c>
      <c r="D9" s="900"/>
      <c r="E9" s="900"/>
      <c r="F9" s="900"/>
      <c r="G9" s="673"/>
      <c r="H9" s="673"/>
      <c r="I9" s="673"/>
      <c r="J9" s="673"/>
      <c r="K9" s="673"/>
      <c r="L9" s="673"/>
      <c r="M9" s="673"/>
      <c r="N9" s="673"/>
      <c r="O9" s="673"/>
    </row>
    <row r="10" spans="1:15" ht="15" x14ac:dyDescent="0.2">
      <c r="A10" s="673"/>
      <c r="B10" s="673"/>
      <c r="C10" s="673"/>
      <c r="D10" s="673"/>
      <c r="E10" s="673"/>
      <c r="F10" s="673"/>
      <c r="G10" s="673"/>
      <c r="H10" s="673"/>
      <c r="I10" s="673"/>
      <c r="J10" s="673"/>
      <c r="K10" s="673"/>
      <c r="L10" s="673"/>
      <c r="M10" s="673"/>
      <c r="N10" s="673"/>
      <c r="O10" s="673"/>
    </row>
    <row r="11" spans="1:15" ht="15" x14ac:dyDescent="0.2">
      <c r="A11" s="673"/>
      <c r="B11" s="673"/>
      <c r="C11" s="886" t="str">
        <f>+info3b&amp;" "&amp;info3c</f>
        <v xml:space="preserve"> </v>
      </c>
      <c r="D11" s="886"/>
      <c r="E11" s="886"/>
      <c r="F11" s="886"/>
      <c r="G11" s="673"/>
      <c r="H11" s="673"/>
      <c r="I11" s="673"/>
      <c r="J11" s="673" t="s">
        <v>594</v>
      </c>
      <c r="K11" s="886" t="str">
        <f>IF(info7a&lt;&gt;0,+info7a," ")</f>
        <v xml:space="preserve"> </v>
      </c>
      <c r="L11" s="886"/>
      <c r="M11" s="886"/>
      <c r="N11" s="673"/>
      <c r="O11" s="673"/>
    </row>
    <row r="12" spans="1:15" ht="15" x14ac:dyDescent="0.2">
      <c r="A12" s="673"/>
      <c r="B12" s="673"/>
      <c r="C12" s="886" t="str">
        <f>IF(info4&lt;&gt;0,+info4," ")</f>
        <v xml:space="preserve"> </v>
      </c>
      <c r="D12" s="886"/>
      <c r="E12" s="886"/>
      <c r="F12" s="886"/>
      <c r="G12" s="673"/>
      <c r="H12" s="673"/>
      <c r="I12" s="673"/>
      <c r="J12" s="673" t="s">
        <v>589</v>
      </c>
      <c r="K12" s="886" t="str">
        <f>IF(info7b&lt;&gt;0,+info7b," ")</f>
        <v xml:space="preserve"> </v>
      </c>
      <c r="L12" s="886"/>
      <c r="M12" s="886"/>
      <c r="N12" s="673"/>
      <c r="O12" s="673"/>
    </row>
    <row r="13" spans="1:15" ht="15" x14ac:dyDescent="0.2">
      <c r="A13" s="673"/>
      <c r="B13" s="673"/>
      <c r="C13" s="886" t="str">
        <f>IF(info5a&lt;&gt;0,+info5a," ")</f>
        <v xml:space="preserve"> </v>
      </c>
      <c r="D13" s="886"/>
      <c r="E13" s="886"/>
      <c r="F13" s="886"/>
      <c r="G13" s="673"/>
      <c r="H13" s="673"/>
      <c r="I13" s="673"/>
      <c r="J13" s="673" t="s">
        <v>590</v>
      </c>
      <c r="K13" s="886" t="str">
        <f>IF(info7c&lt;&gt;0,+info7c," ")</f>
        <v xml:space="preserve"> </v>
      </c>
      <c r="L13" s="886"/>
      <c r="M13" s="886"/>
      <c r="N13" s="673"/>
      <c r="O13" s="673"/>
    </row>
    <row r="14" spans="1:15" ht="15" x14ac:dyDescent="0.2">
      <c r="A14" s="673"/>
      <c r="B14" s="673"/>
      <c r="C14" s="886" t="str">
        <f>IF(info5b&lt;&gt;0,+info5b," ")</f>
        <v xml:space="preserve"> </v>
      </c>
      <c r="D14" s="886"/>
      <c r="E14" s="886"/>
      <c r="F14" s="886"/>
      <c r="G14" s="673"/>
      <c r="H14" s="673"/>
      <c r="I14" s="673"/>
      <c r="J14" s="673"/>
      <c r="K14" s="673"/>
      <c r="L14" s="673"/>
      <c r="M14" s="673"/>
      <c r="N14" s="673"/>
      <c r="O14" s="673"/>
    </row>
    <row r="15" spans="1:15" ht="15" x14ac:dyDescent="0.2">
      <c r="A15" s="673"/>
      <c r="B15" s="673"/>
      <c r="C15" s="886" t="str">
        <f>IF(info5c&lt;&gt;0,+info5c," ")</f>
        <v xml:space="preserve"> </v>
      </c>
      <c r="D15" s="886"/>
      <c r="E15" s="886"/>
      <c r="F15" s="886"/>
      <c r="G15" s="673"/>
      <c r="H15" s="673"/>
      <c r="I15" s="673"/>
      <c r="J15" s="673"/>
      <c r="K15" s="673"/>
      <c r="L15" s="673"/>
      <c r="M15" s="673"/>
      <c r="N15" s="673"/>
      <c r="O15" s="673"/>
    </row>
    <row r="16" spans="1:15" ht="15" x14ac:dyDescent="0.2">
      <c r="A16" s="673"/>
      <c r="B16" s="673"/>
      <c r="C16" s="886" t="str">
        <f>IF(info5d&lt;&gt;0,+info5d," ")</f>
        <v xml:space="preserve"> </v>
      </c>
      <c r="D16" s="886"/>
      <c r="E16" s="886"/>
      <c r="F16" s="886"/>
      <c r="G16" s="673"/>
      <c r="H16" s="673"/>
      <c r="I16" s="673"/>
      <c r="J16" s="673"/>
      <c r="K16" s="673"/>
      <c r="L16" s="673"/>
      <c r="M16" s="673"/>
      <c r="N16" s="673"/>
      <c r="O16" s="673"/>
    </row>
    <row r="17" spans="1:15" ht="15" x14ac:dyDescent="0.2">
      <c r="A17" s="673"/>
      <c r="B17" s="673"/>
      <c r="C17" s="673"/>
      <c r="D17" s="673"/>
      <c r="E17" s="673"/>
      <c r="F17" s="673"/>
      <c r="G17" s="673"/>
      <c r="H17" s="673"/>
      <c r="I17" s="673"/>
      <c r="J17" s="673"/>
      <c r="K17" s="673"/>
      <c r="L17" s="673"/>
      <c r="M17" s="673"/>
      <c r="N17" s="673"/>
      <c r="O17" s="673"/>
    </row>
    <row r="18" spans="1:15" ht="15" x14ac:dyDescent="0.2">
      <c r="A18" s="673"/>
      <c r="B18" s="673"/>
      <c r="C18" s="886" t="str">
        <f>"Dear"&amp;" "&amp;info3a&amp;" "&amp;info3c&amp;","</f>
        <v>Dear  ,</v>
      </c>
      <c r="D18" s="886"/>
      <c r="E18" s="886"/>
      <c r="F18" s="886"/>
      <c r="G18" s="886"/>
      <c r="H18" s="886"/>
      <c r="I18" s="886"/>
      <c r="J18" s="886"/>
      <c r="K18" s="886"/>
      <c r="L18" s="886"/>
      <c r="M18" s="673"/>
      <c r="N18" s="673"/>
      <c r="O18" s="673"/>
    </row>
    <row r="19" spans="1:15" ht="15" x14ac:dyDescent="0.2">
      <c r="A19" s="673"/>
      <c r="B19" s="673"/>
      <c r="C19" s="901" t="s">
        <v>2083</v>
      </c>
      <c r="D19" s="902"/>
      <c r="E19" s="902"/>
      <c r="F19" s="902"/>
      <c r="G19" s="902"/>
      <c r="H19" s="902"/>
      <c r="I19" s="902"/>
      <c r="J19" s="902"/>
      <c r="K19" s="902"/>
      <c r="L19" s="902"/>
      <c r="M19" s="902"/>
      <c r="N19" s="902"/>
      <c r="O19" s="673"/>
    </row>
    <row r="20" spans="1:15" ht="15" x14ac:dyDescent="0.2">
      <c r="A20" s="673"/>
      <c r="B20" s="673"/>
      <c r="C20" s="902" t="s">
        <v>595</v>
      </c>
      <c r="D20" s="902"/>
      <c r="E20" s="902"/>
      <c r="F20" s="902"/>
      <c r="G20" s="902"/>
      <c r="H20" s="902"/>
      <c r="I20" s="902"/>
      <c r="J20" s="902"/>
      <c r="K20" s="902"/>
      <c r="L20" s="902"/>
      <c r="M20" s="902"/>
      <c r="N20" s="902"/>
      <c r="O20" s="673"/>
    </row>
    <row r="21" spans="1:15" ht="15" x14ac:dyDescent="0.2">
      <c r="A21" s="673"/>
      <c r="B21" s="673"/>
      <c r="C21" s="673"/>
      <c r="D21" s="673"/>
      <c r="E21" s="673"/>
      <c r="F21" s="673"/>
      <c r="G21" s="673"/>
      <c r="H21" s="673"/>
      <c r="I21" s="673"/>
      <c r="J21" s="673"/>
      <c r="K21" s="673"/>
      <c r="L21" s="673"/>
      <c r="M21" s="673"/>
      <c r="N21" s="673"/>
      <c r="O21" s="673"/>
    </row>
    <row r="22" spans="1:15" ht="15" x14ac:dyDescent="0.2">
      <c r="A22" s="673"/>
      <c r="B22" s="673"/>
      <c r="C22" s="905" t="s">
        <v>2084</v>
      </c>
      <c r="D22" s="905"/>
      <c r="E22" s="905"/>
      <c r="F22" s="905"/>
      <c r="G22" s="905"/>
      <c r="H22" s="905"/>
      <c r="I22" s="905"/>
      <c r="J22" s="905"/>
      <c r="K22" s="905"/>
      <c r="L22" s="905"/>
      <c r="M22" s="905"/>
      <c r="N22" s="905"/>
      <c r="O22" s="673"/>
    </row>
    <row r="23" spans="1:15" ht="15" x14ac:dyDescent="0.2">
      <c r="A23" s="673"/>
      <c r="B23" s="673"/>
      <c r="C23" s="673"/>
      <c r="D23" s="673"/>
      <c r="E23" s="673"/>
      <c r="F23" s="673"/>
      <c r="G23" s="673"/>
      <c r="H23" s="673"/>
      <c r="I23" s="673"/>
      <c r="J23" s="673"/>
      <c r="K23" s="673"/>
      <c r="L23" s="673"/>
      <c r="M23" s="673"/>
      <c r="N23" s="673"/>
      <c r="O23" s="673"/>
    </row>
    <row r="24" spans="1:15" ht="15" x14ac:dyDescent="0.2">
      <c r="A24" s="673"/>
      <c r="B24" s="673"/>
      <c r="C24" s="894" t="s">
        <v>596</v>
      </c>
      <c r="D24" s="895"/>
      <c r="E24" s="895"/>
      <c r="F24" s="895"/>
      <c r="G24" s="903">
        <v>1</v>
      </c>
      <c r="H24" s="903"/>
      <c r="I24" s="903"/>
      <c r="J24" s="903"/>
      <c r="K24" s="903"/>
      <c r="L24" s="903"/>
      <c r="M24" s="903"/>
      <c r="N24" s="904"/>
      <c r="O24" s="673"/>
    </row>
    <row r="25" spans="1:15" ht="15" x14ac:dyDescent="0.2">
      <c r="A25" s="673"/>
      <c r="B25" s="673"/>
      <c r="C25" s="893" t="s">
        <v>543</v>
      </c>
      <c r="D25" s="886"/>
      <c r="E25" s="886"/>
      <c r="F25" s="886"/>
      <c r="G25" s="886" t="str">
        <f t="shared" ref="G25:N25" si="0">IF(P1Q1="Head",+"GUF-P 2000/"&amp;P0Q2&amp;"/"&amp;p0q1&amp;"-"&amp;P2Q1&amp;"-"&amp;"01",+"GUF-P 2000/"&amp;P0Q2&amp;"/"&amp;p0q1&amp;"-BC-01-01")</f>
        <v>GUF-P 2000/800/3352.8-AC-01</v>
      </c>
      <c r="H25" s="886" t="str">
        <f t="shared" si="0"/>
        <v>GUF-P 2000/800/3352.8-AC-01</v>
      </c>
      <c r="I25" s="886" t="str">
        <f t="shared" si="0"/>
        <v>GUF-P 2000/800/3352.8-AC-01</v>
      </c>
      <c r="J25" s="886" t="str">
        <f t="shared" si="0"/>
        <v>GUF-P 2000/800/3352.8-AC-01</v>
      </c>
      <c r="K25" s="886" t="str">
        <f t="shared" si="0"/>
        <v>GUF-P 2000/800/3352.8-AC-01</v>
      </c>
      <c r="L25" s="886" t="str">
        <f t="shared" si="0"/>
        <v>GUF-P 2000/800/3352.8-AC-01</v>
      </c>
      <c r="M25" s="886" t="str">
        <f t="shared" si="0"/>
        <v>GUF-P 2000/800/3352.8-AC-01</v>
      </c>
      <c r="N25" s="887" t="str">
        <f t="shared" si="0"/>
        <v>GUF-P 2000/800/3352.8-AC-01</v>
      </c>
      <c r="O25" s="673"/>
    </row>
    <row r="26" spans="1:15" ht="15" x14ac:dyDescent="0.2">
      <c r="A26" s="673"/>
      <c r="B26" s="673"/>
      <c r="C26" s="893" t="s">
        <v>612</v>
      </c>
      <c r="D26" s="886"/>
      <c r="E26" s="886"/>
      <c r="F26" s="886"/>
      <c r="G26" s="886" t="str">
        <f>IF(P1Q1="Head",+"Head Drive, Version "&amp;P2Q1,+"Center Drive, Version "&amp;P3Q1)&amp;IF(P2Q1="AU",", mounted "&amp;LOWER(P2Q2),)</f>
        <v>Head Drive, Version AC</v>
      </c>
      <c r="H26" s="886"/>
      <c r="I26" s="886"/>
      <c r="J26" s="886"/>
      <c r="K26" s="886"/>
      <c r="L26" s="886"/>
      <c r="M26" s="886"/>
      <c r="N26" s="887"/>
      <c r="O26" s="673"/>
    </row>
    <row r="27" spans="1:15" ht="15" x14ac:dyDescent="0.2">
      <c r="A27" s="673"/>
      <c r="B27" s="673"/>
      <c r="C27" s="893" t="s">
        <v>613</v>
      </c>
      <c r="D27" s="886"/>
      <c r="E27" s="886"/>
      <c r="F27" s="886"/>
      <c r="G27" s="886" t="str">
        <f>+P1Q2&amp;"-hand side (as product travels along belt)"</f>
        <v>Right-hand side (as product travels along belt)</v>
      </c>
      <c r="H27" s="886"/>
      <c r="I27" s="886"/>
      <c r="J27" s="886"/>
      <c r="K27" s="886"/>
      <c r="L27" s="886"/>
      <c r="M27" s="886"/>
      <c r="N27" s="887"/>
      <c r="O27" s="673"/>
    </row>
    <row r="28" spans="1:15" ht="15" x14ac:dyDescent="0.2">
      <c r="A28" s="673"/>
      <c r="B28" s="673"/>
      <c r="C28" s="893" t="s">
        <v>766</v>
      </c>
      <c r="D28" s="886"/>
      <c r="E28" s="886"/>
      <c r="F28" s="886"/>
      <c r="G28" s="886" t="str">
        <f>"Drive drum surface is "&amp;IF(quote23=0,"steel","rubber coated")</f>
        <v>Drive drum surface is steel</v>
      </c>
      <c r="H28" s="886"/>
      <c r="I28" s="886"/>
      <c r="J28" s="886"/>
      <c r="K28" s="886"/>
      <c r="L28" s="886"/>
      <c r="M28" s="886"/>
      <c r="N28" s="887"/>
      <c r="O28" s="673"/>
    </row>
    <row r="29" spans="1:15" ht="15" x14ac:dyDescent="0.2">
      <c r="A29" s="673"/>
      <c r="B29" s="673"/>
      <c r="C29" s="893" t="s">
        <v>614</v>
      </c>
      <c r="D29" s="886"/>
      <c r="E29" s="886"/>
      <c r="F29" s="886"/>
      <c r="G29" s="906" t="s">
        <v>541</v>
      </c>
      <c r="H29" s="886"/>
      <c r="I29" s="886"/>
      <c r="J29" s="886"/>
      <c r="K29" s="886"/>
      <c r="L29" s="886"/>
      <c r="M29" s="886"/>
      <c r="N29" s="887"/>
      <c r="O29" s="673"/>
    </row>
    <row r="30" spans="1:15" ht="15" x14ac:dyDescent="0.2">
      <c r="A30" s="673"/>
      <c r="B30" s="673"/>
      <c r="C30" s="888" t="s">
        <v>615</v>
      </c>
      <c r="D30" s="889"/>
      <c r="E30" s="889"/>
      <c r="F30" s="889"/>
      <c r="G30" s="889" t="str">
        <f>IF(P1Q1="Head",+"n.a.","01")</f>
        <v>n.a.</v>
      </c>
      <c r="H30" s="889"/>
      <c r="I30" s="889"/>
      <c r="J30" s="889"/>
      <c r="K30" s="889"/>
      <c r="L30" s="889"/>
      <c r="M30" s="889"/>
      <c r="N30" s="890"/>
      <c r="O30" s="673"/>
    </row>
    <row r="31" spans="1:15" ht="15" x14ac:dyDescent="0.2">
      <c r="A31" s="673"/>
      <c r="B31" s="673"/>
      <c r="C31" s="673"/>
      <c r="D31" s="673"/>
      <c r="E31" s="673"/>
      <c r="F31" s="673"/>
      <c r="G31" s="673"/>
      <c r="H31" s="673"/>
      <c r="I31" s="673"/>
      <c r="J31" s="673"/>
      <c r="K31" s="673"/>
      <c r="L31" s="673"/>
      <c r="M31" s="673"/>
      <c r="N31" s="673"/>
      <c r="O31" s="673"/>
    </row>
    <row r="32" spans="1:15" ht="15" x14ac:dyDescent="0.2">
      <c r="A32" s="673"/>
      <c r="B32" s="673"/>
      <c r="C32" s="894" t="s">
        <v>616</v>
      </c>
      <c r="D32" s="895"/>
      <c r="E32" s="895"/>
      <c r="F32" s="895"/>
      <c r="G32" s="903" t="str">
        <f>+p0q1&amp;" mm"</f>
        <v>3352.8 mm</v>
      </c>
      <c r="H32" s="903"/>
      <c r="I32" s="903"/>
      <c r="J32" s="903" t="str">
        <f>+"( "&amp;quote1&amp;" in )"</f>
        <v>( 132 in )</v>
      </c>
      <c r="K32" s="903"/>
      <c r="L32" s="903"/>
      <c r="M32" s="676"/>
      <c r="N32" s="679"/>
      <c r="O32" s="673"/>
    </row>
    <row r="33" spans="1:15" ht="15" x14ac:dyDescent="0.2">
      <c r="A33" s="673"/>
      <c r="B33" s="673"/>
      <c r="C33" s="893" t="s">
        <v>628</v>
      </c>
      <c r="D33" s="886"/>
      <c r="E33" s="886"/>
      <c r="F33" s="886"/>
      <c r="G33" s="902" t="str">
        <f>+P0Q2&amp;" mm"</f>
        <v>800 mm</v>
      </c>
      <c r="H33" s="902"/>
      <c r="I33" s="902"/>
      <c r="J33" s="902" t="str">
        <f>+"( "&amp;quote2&amp;" in )"</f>
        <v>( 31.5 in )</v>
      </c>
      <c r="K33" s="902"/>
      <c r="L33" s="902"/>
      <c r="M33" s="674"/>
      <c r="N33" s="678"/>
      <c r="O33" s="673"/>
    </row>
    <row r="34" spans="1:15" ht="15" x14ac:dyDescent="0.2">
      <c r="A34" s="673"/>
      <c r="B34" s="673"/>
      <c r="C34" s="893" t="s">
        <v>767</v>
      </c>
      <c r="D34" s="886"/>
      <c r="E34" s="886"/>
      <c r="F34" s="886"/>
      <c r="G34" s="886" t="str">
        <f>"Conveyor requires "&amp;+quote22&amp;" belt support roll(s)"</f>
        <v>Conveyor requires 1 belt support roll(s)</v>
      </c>
      <c r="H34" s="886"/>
      <c r="I34" s="886"/>
      <c r="J34" s="886"/>
      <c r="K34" s="886"/>
      <c r="L34" s="886"/>
      <c r="M34" s="886"/>
      <c r="N34" s="887"/>
      <c r="O34" s="673"/>
    </row>
    <row r="35" spans="1:15" ht="15" x14ac:dyDescent="0.2">
      <c r="A35" s="673"/>
      <c r="B35" s="673"/>
      <c r="C35" s="888" t="s">
        <v>765</v>
      </c>
      <c r="D35" s="889"/>
      <c r="E35" s="889"/>
      <c r="F35" s="889"/>
      <c r="G35" s="889" t="str">
        <f>IF(P6Q9=0,"Conveyor is horizontal.","Conveyor will be running at an angle of "&amp;P6Q9&amp;" degrees")</f>
        <v>Conveyor is horizontal.</v>
      </c>
      <c r="H35" s="889"/>
      <c r="I35" s="889"/>
      <c r="J35" s="889"/>
      <c r="K35" s="889"/>
      <c r="L35" s="889"/>
      <c r="M35" s="889"/>
      <c r="N35" s="890"/>
      <c r="O35" s="673"/>
    </row>
    <row r="36" spans="1:15" ht="15" x14ac:dyDescent="0.2">
      <c r="A36" s="673"/>
      <c r="B36" s="673"/>
      <c r="C36" s="673"/>
      <c r="D36" s="673"/>
      <c r="E36" s="673"/>
      <c r="F36" s="673"/>
      <c r="G36" s="673"/>
      <c r="H36" s="673"/>
      <c r="I36" s="673"/>
      <c r="J36" s="673"/>
      <c r="K36" s="673"/>
      <c r="L36" s="673"/>
      <c r="M36" s="673"/>
      <c r="N36" s="673"/>
      <c r="O36" s="673"/>
    </row>
    <row r="37" spans="1:15" ht="15" x14ac:dyDescent="0.2">
      <c r="A37" s="673"/>
      <c r="B37" s="673"/>
      <c r="C37" s="894" t="s">
        <v>617</v>
      </c>
      <c r="D37" s="895"/>
      <c r="E37" s="895"/>
      <c r="F37" s="895"/>
      <c r="G37" s="895" t="str">
        <f>IF(P6Q10=0,"n.a.",+"Belt # "&amp;P6Q10)</f>
        <v>Belt # 460445</v>
      </c>
      <c r="H37" s="895"/>
      <c r="I37" s="895"/>
      <c r="J37" s="895"/>
      <c r="K37" s="895"/>
      <c r="L37" s="895"/>
      <c r="M37" s="895"/>
      <c r="N37" s="897"/>
      <c r="O37" s="673"/>
    </row>
    <row r="38" spans="1:15" ht="15" x14ac:dyDescent="0.2">
      <c r="A38" s="673"/>
      <c r="B38" s="673"/>
      <c r="C38" s="893"/>
      <c r="D38" s="886"/>
      <c r="E38" s="886"/>
      <c r="F38" s="886"/>
      <c r="G38" s="886" t="str">
        <f>+quote67</f>
        <v>This is a "Yushin Blue", Urethane belt.</v>
      </c>
      <c r="H38" s="886"/>
      <c r="I38" s="886"/>
      <c r="J38" s="886"/>
      <c r="K38" s="886"/>
      <c r="L38" s="886"/>
      <c r="M38" s="886"/>
      <c r="N38" s="887"/>
      <c r="O38" s="673"/>
    </row>
    <row r="39" spans="1:15" ht="15" x14ac:dyDescent="0.2">
      <c r="A39" s="673"/>
      <c r="B39" s="673"/>
      <c r="C39" s="893" t="s">
        <v>626</v>
      </c>
      <c r="D39" s="886"/>
      <c r="E39" s="886"/>
      <c r="F39" s="886"/>
      <c r="G39" s="886" t="str">
        <f>+quote68</f>
        <v>785 mm ( 31.11 in )</v>
      </c>
      <c r="H39" s="886"/>
      <c r="I39" s="886"/>
      <c r="J39" s="886"/>
      <c r="K39" s="886"/>
      <c r="L39" s="886"/>
      <c r="M39" s="886"/>
      <c r="N39" s="887"/>
      <c r="O39" s="673"/>
    </row>
    <row r="40" spans="1:15" ht="15" x14ac:dyDescent="0.2">
      <c r="A40" s="673"/>
      <c r="B40" s="673"/>
      <c r="C40" s="888" t="s">
        <v>2156</v>
      </c>
      <c r="D40" s="889"/>
      <c r="E40" s="889"/>
      <c r="F40" s="889"/>
      <c r="G40" s="889" t="str">
        <f>+"Belt rides on a "&amp;+P0Q14&amp;" Steel Slider"</f>
        <v>Belt rides on a Galvanized Steel Slider</v>
      </c>
      <c r="H40" s="889"/>
      <c r="I40" s="889"/>
      <c r="J40" s="889"/>
      <c r="K40" s="889"/>
      <c r="L40" s="889"/>
      <c r="M40" s="889"/>
      <c r="N40" s="890"/>
      <c r="O40" s="673"/>
    </row>
    <row r="41" spans="1:15" ht="15" x14ac:dyDescent="0.2">
      <c r="A41" s="673"/>
      <c r="B41" s="673"/>
      <c r="C41" s="674"/>
      <c r="D41" s="674"/>
      <c r="E41" s="674"/>
      <c r="F41" s="674"/>
      <c r="G41" s="673"/>
      <c r="H41" s="673"/>
      <c r="I41" s="673"/>
      <c r="J41" s="674"/>
      <c r="K41" s="674"/>
      <c r="L41" s="674"/>
      <c r="M41" s="674"/>
      <c r="N41" s="673"/>
      <c r="O41" s="673"/>
    </row>
    <row r="42" spans="1:15" ht="15" x14ac:dyDescent="0.2">
      <c r="A42" s="673"/>
      <c r="B42" s="673"/>
      <c r="C42" s="894" t="s">
        <v>2155</v>
      </c>
      <c r="D42" s="895"/>
      <c r="E42" s="895"/>
      <c r="F42" s="895"/>
      <c r="G42" s="895" t="str">
        <f>+P0Q3_Select&amp;" lbs."</f>
        <v>41-60 lbs.</v>
      </c>
      <c r="H42" s="895"/>
      <c r="I42" s="895"/>
      <c r="J42" s="895"/>
      <c r="K42" s="895"/>
      <c r="L42" s="895"/>
      <c r="M42" s="895"/>
      <c r="N42" s="897"/>
      <c r="O42" s="673"/>
    </row>
    <row r="43" spans="1:15" ht="15" x14ac:dyDescent="0.2">
      <c r="A43" s="673"/>
      <c r="B43" s="673"/>
      <c r="C43" s="888" t="s">
        <v>385</v>
      </c>
      <c r="D43" s="889"/>
      <c r="E43" s="889"/>
      <c r="F43" s="889"/>
      <c r="G43" s="889" t="str">
        <f>IF(P6Q8="Yes","Yes.  Product accumulation is allowed","No.  Product accumulation is NOT allowed")</f>
        <v>No.  Product accumulation is NOT allowed</v>
      </c>
      <c r="H43" s="889"/>
      <c r="I43" s="889"/>
      <c r="J43" s="889"/>
      <c r="K43" s="889"/>
      <c r="L43" s="889"/>
      <c r="M43" s="889"/>
      <c r="N43" s="890"/>
      <c r="O43" s="673"/>
    </row>
    <row r="44" spans="1:15" ht="15" x14ac:dyDescent="0.2">
      <c r="A44" s="673"/>
      <c r="B44" s="673"/>
      <c r="C44" s="673"/>
      <c r="D44" s="673"/>
      <c r="E44" s="673"/>
      <c r="F44" s="673"/>
      <c r="G44" s="673"/>
      <c r="H44" s="673"/>
      <c r="I44" s="673"/>
      <c r="J44" s="673"/>
      <c r="K44" s="673"/>
      <c r="L44" s="673"/>
      <c r="M44" s="673"/>
      <c r="N44" s="673"/>
      <c r="O44" s="673"/>
    </row>
    <row r="45" spans="1:15" ht="15" x14ac:dyDescent="0.2">
      <c r="A45" s="673"/>
      <c r="B45" s="673"/>
      <c r="C45" s="894" t="s">
        <v>363</v>
      </c>
      <c r="D45" s="895"/>
      <c r="E45" s="895"/>
      <c r="F45" s="895"/>
      <c r="G45" s="895" t="str">
        <f>+P0Q4_Select&amp;" fpm"</f>
        <v>6-60 fpm</v>
      </c>
      <c r="H45" s="895"/>
      <c r="I45" s="895"/>
      <c r="J45" s="895"/>
      <c r="K45" s="895"/>
      <c r="L45" s="895"/>
      <c r="M45" s="895"/>
      <c r="N45" s="897"/>
      <c r="O45" s="673"/>
    </row>
    <row r="46" spans="1:15" ht="15" x14ac:dyDescent="0.2">
      <c r="A46" s="673"/>
      <c r="B46" s="673"/>
      <c r="C46" s="893"/>
      <c r="D46" s="886"/>
      <c r="E46" s="886"/>
      <c r="F46" s="886"/>
      <c r="G46" s="886" t="str">
        <f>IF(P0Q5="N/A"," ",+"Speed is "&amp;P0Q5)</f>
        <v>Speed is Variable</v>
      </c>
      <c r="H46" s="886"/>
      <c r="I46" s="886"/>
      <c r="J46" s="886"/>
      <c r="K46" s="886"/>
      <c r="L46" s="886"/>
      <c r="M46" s="673"/>
      <c r="N46" s="680"/>
      <c r="O46" s="673"/>
    </row>
    <row r="47" spans="1:15" ht="15" x14ac:dyDescent="0.2">
      <c r="A47" s="673"/>
      <c r="B47" s="673"/>
      <c r="C47" s="893" t="s">
        <v>632</v>
      </c>
      <c r="D47" s="886"/>
      <c r="E47" s="886"/>
      <c r="F47" s="886"/>
      <c r="G47" s="886" t="str">
        <f>IF(P0Q5="N/A"," ",IF(quote16=3,+"SEW "&amp;+P0Q7&amp;" VAC, 3Ph, 60Hz Motor",IF(P0Q5="Constant",P0Q12&amp;" 115 VAC, 60Hz, 1Ph motor",P0Q12&amp;" "&amp;quote81&amp;" motor")))</f>
        <v>Bodine 130 VDC motor</v>
      </c>
      <c r="H47" s="886"/>
      <c r="I47" s="886"/>
      <c r="J47" s="886"/>
      <c r="K47" s="886"/>
      <c r="L47" s="886"/>
      <c r="M47" s="886"/>
      <c r="N47" s="887"/>
      <c r="O47" s="673"/>
    </row>
    <row r="48" spans="1:15" ht="15" x14ac:dyDescent="0.2">
      <c r="A48" s="673"/>
      <c r="B48" s="673"/>
      <c r="C48" s="681"/>
      <c r="D48" s="673"/>
      <c r="E48" s="673"/>
      <c r="F48" s="673"/>
      <c r="G48" s="886" t="str">
        <f t="shared" ref="G48:N48" si="1">IF(P0Q5="N/A"," ","Motor "&amp;quote103&amp;" Hp")</f>
        <v>Motor 0.25 Hp</v>
      </c>
      <c r="H48" s="886" t="str">
        <f t="shared" si="1"/>
        <v>Motor 0.25 Hp</v>
      </c>
      <c r="I48" s="886" t="str">
        <f t="shared" si="1"/>
        <v>Motor 0.25 Hp</v>
      </c>
      <c r="J48" s="886" t="str">
        <f t="shared" si="1"/>
        <v>Motor 0.25 Hp</v>
      </c>
      <c r="K48" s="886" t="str">
        <f t="shared" si="1"/>
        <v>Motor 0.25 Hp</v>
      </c>
      <c r="L48" s="886" t="str">
        <f t="shared" si="1"/>
        <v>Motor 0.25 Hp</v>
      </c>
      <c r="M48" s="886" t="str">
        <f t="shared" si="1"/>
        <v>Motor 0.25 Hp</v>
      </c>
      <c r="N48" s="887" t="str">
        <f t="shared" si="1"/>
        <v>Motor 0.25 Hp</v>
      </c>
      <c r="O48" s="673"/>
    </row>
    <row r="49" spans="1:15" ht="15" x14ac:dyDescent="0.2">
      <c r="A49" s="673"/>
      <c r="B49" s="673"/>
      <c r="C49" s="893" t="s">
        <v>633</v>
      </c>
      <c r="D49" s="886"/>
      <c r="E49" s="886"/>
      <c r="F49" s="886"/>
      <c r="G49" s="886" t="s">
        <v>2086</v>
      </c>
      <c r="H49" s="886"/>
      <c r="I49" s="886"/>
      <c r="J49" s="886"/>
      <c r="K49" s="886"/>
      <c r="L49" s="886"/>
      <c r="M49" s="886"/>
      <c r="N49" s="887"/>
      <c r="O49" s="673"/>
    </row>
    <row r="50" spans="1:15" ht="15" x14ac:dyDescent="0.2">
      <c r="A50" s="673"/>
      <c r="B50" s="673"/>
      <c r="C50" s="893"/>
      <c r="D50" s="886"/>
      <c r="E50" s="886"/>
      <c r="F50" s="886"/>
      <c r="G50" s="886" t="s">
        <v>2087</v>
      </c>
      <c r="H50" s="886"/>
      <c r="I50" s="886"/>
      <c r="J50" s="886"/>
      <c r="K50" s="886"/>
      <c r="L50" s="886"/>
      <c r="M50" s="886"/>
      <c r="N50" s="887"/>
      <c r="O50" s="673"/>
    </row>
    <row r="51" spans="1:15" ht="15" x14ac:dyDescent="0.2">
      <c r="A51" s="673"/>
      <c r="B51" s="673"/>
      <c r="C51" s="682"/>
      <c r="D51" s="683"/>
      <c r="E51" s="683"/>
      <c r="F51" s="683"/>
      <c r="G51" s="889" t="str">
        <f>IF(P0Q6&lt;&gt;"mk"," ",IF(quote28="Y",IF(P0Q12="Bodine","Control includes 3' cord","Wiring terminates at control"),"Control shipped loose"))</f>
        <v>Control includes 3' cord</v>
      </c>
      <c r="H51" s="889"/>
      <c r="I51" s="889"/>
      <c r="J51" s="889"/>
      <c r="K51" s="889"/>
      <c r="L51" s="889"/>
      <c r="M51" s="889"/>
      <c r="N51" s="890"/>
      <c r="O51" s="673"/>
    </row>
    <row r="52" spans="1:15" ht="15" x14ac:dyDescent="0.2">
      <c r="A52" s="673"/>
      <c r="B52" s="673"/>
      <c r="C52" s="674"/>
      <c r="D52" s="674"/>
      <c r="E52" s="674"/>
      <c r="F52" s="674"/>
      <c r="G52" s="674"/>
      <c r="H52" s="674"/>
      <c r="I52" s="674"/>
      <c r="J52" s="674"/>
      <c r="K52" s="674"/>
      <c r="L52" s="674"/>
      <c r="M52" s="674"/>
      <c r="N52" s="673"/>
      <c r="O52" s="673"/>
    </row>
    <row r="53" spans="1:15" ht="13.15" customHeight="1" x14ac:dyDescent="0.3">
      <c r="A53" s="673"/>
      <c r="B53" s="673"/>
      <c r="D53" s="684"/>
      <c r="E53" s="684"/>
      <c r="F53" s="684"/>
      <c r="G53" s="684"/>
      <c r="H53" s="684"/>
      <c r="I53" s="684"/>
      <c r="J53" s="684"/>
      <c r="K53" s="674"/>
      <c r="L53" s="674"/>
      <c r="M53" s="674"/>
      <c r="N53" s="673"/>
      <c r="O53" s="673"/>
    </row>
    <row r="54" spans="1:15" ht="14.25" customHeight="1" x14ac:dyDescent="0.3">
      <c r="C54" s="684"/>
      <c r="D54" s="684"/>
      <c r="E54" s="684"/>
      <c r="F54" s="684"/>
      <c r="G54" s="684"/>
      <c r="H54" s="684"/>
      <c r="I54" s="684"/>
      <c r="J54" s="684"/>
    </row>
    <row r="55" spans="1:15" ht="15" customHeight="1" x14ac:dyDescent="0.3">
      <c r="A55" s="673"/>
      <c r="B55" s="673"/>
      <c r="C55" s="684"/>
      <c r="D55" s="684"/>
      <c r="E55" s="684"/>
      <c r="F55" s="684"/>
      <c r="G55" s="684"/>
      <c r="H55" s="684"/>
      <c r="I55" s="684"/>
      <c r="J55" s="684"/>
      <c r="K55" s="674"/>
      <c r="L55" s="891" t="s">
        <v>2057</v>
      </c>
      <c r="M55" s="891"/>
      <c r="N55" s="891" t="s">
        <v>2059</v>
      </c>
      <c r="O55" s="891"/>
    </row>
    <row r="56" spans="1:15" ht="15" customHeight="1" x14ac:dyDescent="0.3">
      <c r="A56" s="673"/>
      <c r="B56" s="673"/>
      <c r="C56" s="684"/>
      <c r="D56" s="684"/>
      <c r="E56" s="684"/>
      <c r="F56" s="684"/>
      <c r="G56" s="684"/>
      <c r="H56" s="684"/>
      <c r="I56" s="684"/>
      <c r="J56" s="684"/>
      <c r="K56" s="674"/>
      <c r="L56" s="891" t="s">
        <v>2058</v>
      </c>
      <c r="M56" s="891"/>
      <c r="N56" s="891" t="s">
        <v>2060</v>
      </c>
      <c r="O56" s="891"/>
    </row>
    <row r="57" spans="1:15" ht="15" customHeight="1" x14ac:dyDescent="0.3">
      <c r="A57" s="673"/>
      <c r="B57" s="673"/>
      <c r="C57" s="684"/>
      <c r="D57" s="684"/>
      <c r="E57" s="684"/>
      <c r="F57" s="684"/>
      <c r="G57" s="684"/>
      <c r="H57" s="684"/>
      <c r="I57" s="684"/>
      <c r="J57" s="684"/>
      <c r="K57" s="674"/>
      <c r="L57" s="892" t="s">
        <v>2085</v>
      </c>
      <c r="M57" s="892"/>
      <c r="N57" s="892" t="s">
        <v>2062</v>
      </c>
      <c r="O57" s="892"/>
    </row>
    <row r="58" spans="1:15" ht="15.75" customHeight="1" thickBot="1" x14ac:dyDescent="0.25">
      <c r="A58" s="791"/>
      <c r="B58" s="791"/>
      <c r="C58" s="791"/>
      <c r="D58" s="791"/>
      <c r="E58" s="791"/>
      <c r="F58" s="791"/>
      <c r="G58" s="791"/>
      <c r="H58" s="791"/>
      <c r="I58" s="791"/>
      <c r="J58" s="791"/>
      <c r="K58" s="791"/>
      <c r="L58" s="791"/>
      <c r="M58" s="791"/>
      <c r="N58" s="791"/>
      <c r="O58" s="791"/>
    </row>
    <row r="59" spans="1:15" ht="13.15" customHeight="1" thickTop="1" x14ac:dyDescent="0.2">
      <c r="A59" s="673"/>
      <c r="B59" s="673"/>
      <c r="C59" s="909" t="str">
        <f>+"Proposal # "&amp;info2</f>
        <v xml:space="preserve">Proposal # </v>
      </c>
      <c r="D59" s="909"/>
      <c r="E59" s="909"/>
      <c r="F59" s="909"/>
      <c r="G59" s="909"/>
      <c r="H59" s="909"/>
      <c r="I59" s="909"/>
      <c r="J59" s="909"/>
      <c r="K59" s="674"/>
      <c r="L59" s="674"/>
      <c r="M59" s="674"/>
      <c r="N59" s="673"/>
      <c r="O59" s="673"/>
    </row>
    <row r="60" spans="1:15" ht="12.75" customHeight="1" x14ac:dyDescent="0.2">
      <c r="A60" s="673"/>
      <c r="B60" s="673"/>
      <c r="C60" s="909"/>
      <c r="D60" s="909"/>
      <c r="E60" s="909"/>
      <c r="F60" s="909"/>
      <c r="G60" s="909"/>
      <c r="H60" s="909"/>
      <c r="I60" s="909"/>
      <c r="J60" s="909"/>
      <c r="K60" s="674"/>
      <c r="L60" s="674"/>
      <c r="M60" s="674"/>
      <c r="N60" s="673"/>
      <c r="O60" s="673"/>
    </row>
    <row r="61" spans="1:15" ht="15" x14ac:dyDescent="0.2">
      <c r="A61" s="673"/>
      <c r="B61" s="673"/>
      <c r="C61" s="673"/>
      <c r="D61" s="673"/>
      <c r="E61" s="673"/>
      <c r="F61" s="673"/>
      <c r="G61" s="673"/>
      <c r="H61" s="673"/>
      <c r="I61" s="673"/>
      <c r="J61" s="673"/>
      <c r="K61" s="673"/>
      <c r="L61" s="673"/>
      <c r="M61" s="673"/>
      <c r="N61" s="673"/>
      <c r="O61" s="673"/>
    </row>
    <row r="62" spans="1:15" ht="15" x14ac:dyDescent="0.2">
      <c r="A62" s="673"/>
      <c r="B62" s="673"/>
      <c r="C62" s="894" t="s">
        <v>2143</v>
      </c>
      <c r="D62" s="895"/>
      <c r="E62" s="895"/>
      <c r="F62" s="895"/>
      <c r="G62" s="895" t="str">
        <f>IF(Option_01&lt;&gt;"Yes","None requested.",IF(Option_01="Yes","Robot Interface Cable and Indexing Option"," "))</f>
        <v>None requested.</v>
      </c>
      <c r="H62" s="895" t="str">
        <f t="shared" ref="H62:N64" si="2">IF(p0q8&lt;&gt;"No","Rail System "&amp;quote8,"None")</f>
        <v>Rail System HSF03</v>
      </c>
      <c r="I62" s="895" t="str">
        <f t="shared" si="2"/>
        <v>Rail System HSF03</v>
      </c>
      <c r="J62" s="895" t="str">
        <f t="shared" si="2"/>
        <v>Rail System HSF03</v>
      </c>
      <c r="K62" s="895" t="str">
        <f t="shared" si="2"/>
        <v>Rail System HSF03</v>
      </c>
      <c r="L62" s="895" t="str">
        <f t="shared" si="2"/>
        <v>Rail System HSF03</v>
      </c>
      <c r="M62" s="895" t="str">
        <f t="shared" si="2"/>
        <v>Rail System HSF03</v>
      </c>
      <c r="N62" s="897" t="str">
        <f t="shared" si="2"/>
        <v>Rail System HSF03</v>
      </c>
      <c r="O62" s="673"/>
    </row>
    <row r="63" spans="1:15" ht="15" x14ac:dyDescent="0.2">
      <c r="A63" s="673"/>
      <c r="B63" s="673"/>
      <c r="C63" s="677"/>
      <c r="D63" s="674"/>
      <c r="E63" s="674"/>
      <c r="F63" s="674"/>
      <c r="G63" s="674"/>
      <c r="H63" s="674"/>
      <c r="I63" s="674"/>
      <c r="J63" s="674"/>
      <c r="K63" s="674"/>
      <c r="L63" s="674"/>
      <c r="M63" s="674"/>
      <c r="N63" s="678"/>
      <c r="O63" s="673"/>
    </row>
    <row r="64" spans="1:15" ht="15" x14ac:dyDescent="0.2">
      <c r="A64" s="673"/>
      <c r="B64" s="673"/>
      <c r="C64" s="893" t="s">
        <v>2146</v>
      </c>
      <c r="D64" s="886"/>
      <c r="E64" s="886"/>
      <c r="F64" s="886"/>
      <c r="G64" s="886" t="str">
        <f>IF(Option_Sum=0,"None requested.",IF(Option_02="Yes","Sensor Set for 'Drop-Zone Clear' detection"," "))</f>
        <v>None requested.</v>
      </c>
      <c r="H64" s="886" t="str">
        <f t="shared" si="2"/>
        <v>Rail System HSF03</v>
      </c>
      <c r="I64" s="886" t="str">
        <f t="shared" si="2"/>
        <v>Rail System HSF03</v>
      </c>
      <c r="J64" s="886" t="str">
        <f t="shared" si="2"/>
        <v>Rail System HSF03</v>
      </c>
      <c r="K64" s="886" t="str">
        <f t="shared" si="2"/>
        <v>Rail System HSF03</v>
      </c>
      <c r="L64" s="886" t="str">
        <f t="shared" si="2"/>
        <v>Rail System HSF03</v>
      </c>
      <c r="M64" s="886" t="str">
        <f t="shared" si="2"/>
        <v>Rail System HSF03</v>
      </c>
      <c r="N64" s="887" t="str">
        <f t="shared" si="2"/>
        <v>Rail System HSF03</v>
      </c>
      <c r="O64" s="673"/>
    </row>
    <row r="65" spans="1:15" ht="15" x14ac:dyDescent="0.2">
      <c r="A65" s="673"/>
      <c r="B65" s="673"/>
      <c r="C65" s="682"/>
      <c r="D65" s="683"/>
      <c r="E65" s="683"/>
      <c r="F65" s="683"/>
      <c r="G65" s="889" t="str">
        <f>IF(Option_03="Yes","Additional Sensor Set for 'Conveyor Full' detection"," ")</f>
        <v xml:space="preserve"> </v>
      </c>
      <c r="H65" s="889" t="str">
        <f t="shared" ref="H65:N65" si="3">IF(p0q8="No"," ",IF(p0q8="Fixed","H= "&amp;quote7&amp;" mm",IF(P8Q1="No","Aluminum Side Rails","UHMW backed Aluminum Side Rails")))</f>
        <v>UHMW backed Aluminum Side Rails</v>
      </c>
      <c r="I65" s="889" t="str">
        <f t="shared" si="3"/>
        <v>UHMW backed Aluminum Side Rails</v>
      </c>
      <c r="J65" s="889" t="str">
        <f t="shared" si="3"/>
        <v>UHMW backed Aluminum Side Rails</v>
      </c>
      <c r="K65" s="889" t="str">
        <f t="shared" si="3"/>
        <v>UHMW backed Aluminum Side Rails</v>
      </c>
      <c r="L65" s="889" t="str">
        <f t="shared" si="3"/>
        <v>UHMW backed Aluminum Side Rails</v>
      </c>
      <c r="M65" s="889" t="str">
        <f t="shared" si="3"/>
        <v>UHMW backed Aluminum Side Rails</v>
      </c>
      <c r="N65" s="890" t="str">
        <f t="shared" si="3"/>
        <v>UHMW backed Aluminum Side Rails</v>
      </c>
      <c r="O65" s="673"/>
    </row>
    <row r="66" spans="1:15" ht="15" x14ac:dyDescent="0.2">
      <c r="A66" s="673"/>
      <c r="B66" s="673"/>
      <c r="C66" s="673"/>
      <c r="D66" s="673"/>
      <c r="E66" s="673"/>
      <c r="F66" s="673"/>
      <c r="G66" s="673"/>
      <c r="H66" s="673"/>
      <c r="I66" s="673"/>
      <c r="J66" s="673"/>
      <c r="K66" s="673"/>
      <c r="L66" s="673"/>
      <c r="M66" s="673"/>
      <c r="N66" s="673"/>
      <c r="O66" s="673"/>
    </row>
    <row r="67" spans="1:15" ht="15" x14ac:dyDescent="0.2">
      <c r="A67" s="673"/>
      <c r="B67" s="673"/>
      <c r="C67" s="894" t="s">
        <v>634</v>
      </c>
      <c r="D67" s="895"/>
      <c r="E67" s="895"/>
      <c r="F67" s="895"/>
      <c r="G67" s="895" t="str">
        <f>IF(p0q8&lt;&gt;"No","Rail System "&amp;quote8,"None requested.")</f>
        <v>Rail System HSF03</v>
      </c>
      <c r="H67" s="895" t="str">
        <f t="shared" ref="H67:N67" si="4">IF(p0q8&lt;&gt;"No","Rail System "&amp;quote8,"None")</f>
        <v>Rail System HSF03</v>
      </c>
      <c r="I67" s="895" t="str">
        <f t="shared" si="4"/>
        <v>Rail System HSF03</v>
      </c>
      <c r="J67" s="895" t="str">
        <f t="shared" si="4"/>
        <v>Rail System HSF03</v>
      </c>
      <c r="K67" s="895" t="str">
        <f t="shared" si="4"/>
        <v>Rail System HSF03</v>
      </c>
      <c r="L67" s="895" t="str">
        <f t="shared" si="4"/>
        <v>Rail System HSF03</v>
      </c>
      <c r="M67" s="895" t="str">
        <f t="shared" si="4"/>
        <v>Rail System HSF03</v>
      </c>
      <c r="N67" s="897" t="str">
        <f t="shared" si="4"/>
        <v>Rail System HSF03</v>
      </c>
      <c r="O67" s="673"/>
    </row>
    <row r="68" spans="1:15" ht="15" x14ac:dyDescent="0.2">
      <c r="A68" s="673"/>
      <c r="B68" s="673"/>
      <c r="C68" s="893"/>
      <c r="D68" s="886"/>
      <c r="E68" s="886"/>
      <c r="F68" s="886"/>
      <c r="G68" s="886" t="str">
        <f t="shared" ref="G68:N68" si="5">IF(p0q8&lt;&gt;"No",+quote61&amp;" mm OAL"," ")</f>
        <v>3352.8 mm OAL</v>
      </c>
      <c r="H68" s="886" t="str">
        <f t="shared" si="5"/>
        <v>3352.8 mm OAL</v>
      </c>
      <c r="I68" s="886" t="str">
        <f t="shared" si="5"/>
        <v>3352.8 mm OAL</v>
      </c>
      <c r="J68" s="886" t="str">
        <f t="shared" si="5"/>
        <v>3352.8 mm OAL</v>
      </c>
      <c r="K68" s="886" t="str">
        <f t="shared" si="5"/>
        <v>3352.8 mm OAL</v>
      </c>
      <c r="L68" s="886" t="str">
        <f t="shared" si="5"/>
        <v>3352.8 mm OAL</v>
      </c>
      <c r="M68" s="886" t="str">
        <f t="shared" si="5"/>
        <v>3352.8 mm OAL</v>
      </c>
      <c r="N68" s="887" t="str">
        <f t="shared" si="5"/>
        <v>3352.8 mm OAL</v>
      </c>
      <c r="O68" s="673"/>
    </row>
    <row r="69" spans="1:15" ht="15" x14ac:dyDescent="0.2">
      <c r="A69" s="673"/>
      <c r="B69" s="673"/>
      <c r="C69" s="681"/>
      <c r="D69" s="673"/>
      <c r="E69" s="673"/>
      <c r="F69" s="673"/>
      <c r="G69" s="886" t="str">
        <f t="shared" ref="G69:N69" si="6">IF(p0q8="No"," ",IF(p0q8="Fixed","H= "&amp;quote7&amp;" mm",IF(P8Q1="No","Aluminum Side Rails","UHMW backed Aluminum Side Rails")))</f>
        <v>UHMW backed Aluminum Side Rails</v>
      </c>
      <c r="H69" s="886" t="str">
        <f t="shared" si="6"/>
        <v>UHMW backed Aluminum Side Rails</v>
      </c>
      <c r="I69" s="886" t="str">
        <f t="shared" si="6"/>
        <v>UHMW backed Aluminum Side Rails</v>
      </c>
      <c r="J69" s="886" t="str">
        <f t="shared" si="6"/>
        <v>UHMW backed Aluminum Side Rails</v>
      </c>
      <c r="K69" s="886" t="str">
        <f t="shared" si="6"/>
        <v>UHMW backed Aluminum Side Rails</v>
      </c>
      <c r="L69" s="886" t="str">
        <f t="shared" si="6"/>
        <v>UHMW backed Aluminum Side Rails</v>
      </c>
      <c r="M69" s="886" t="str">
        <f t="shared" si="6"/>
        <v>UHMW backed Aluminum Side Rails</v>
      </c>
      <c r="N69" s="887" t="str">
        <f t="shared" si="6"/>
        <v>UHMW backed Aluminum Side Rails</v>
      </c>
      <c r="O69" s="673"/>
    </row>
    <row r="70" spans="1:15" ht="15" x14ac:dyDescent="0.2">
      <c r="A70" s="673"/>
      <c r="B70" s="673"/>
      <c r="C70" s="682"/>
      <c r="D70" s="683"/>
      <c r="E70" s="683"/>
      <c r="F70" s="683"/>
      <c r="G70" s="889" t="str">
        <f t="shared" ref="G70:N70" si="7">IF(p0q8="Fixed",+quote35,IF(p0q8="Adjustable",+quote10," "))</f>
        <v>Lane width adjustable from 660 mm to 860 mm</v>
      </c>
      <c r="H70" s="889" t="str">
        <f t="shared" si="7"/>
        <v>Lane width adjustable from 660 mm to 860 mm</v>
      </c>
      <c r="I70" s="889" t="str">
        <f t="shared" si="7"/>
        <v>Lane width adjustable from 660 mm to 860 mm</v>
      </c>
      <c r="J70" s="889" t="str">
        <f t="shared" si="7"/>
        <v>Lane width adjustable from 660 mm to 860 mm</v>
      </c>
      <c r="K70" s="889" t="str">
        <f t="shared" si="7"/>
        <v>Lane width adjustable from 660 mm to 860 mm</v>
      </c>
      <c r="L70" s="889" t="str">
        <f t="shared" si="7"/>
        <v>Lane width adjustable from 660 mm to 860 mm</v>
      </c>
      <c r="M70" s="889" t="str">
        <f t="shared" si="7"/>
        <v>Lane width adjustable from 660 mm to 860 mm</v>
      </c>
      <c r="N70" s="890" t="str">
        <f t="shared" si="7"/>
        <v>Lane width adjustable from 660 mm to 860 mm</v>
      </c>
      <c r="O70" s="673"/>
    </row>
    <row r="71" spans="1:15" ht="15" x14ac:dyDescent="0.2">
      <c r="A71" s="673"/>
      <c r="B71" s="673"/>
      <c r="C71" s="673"/>
      <c r="D71" s="673"/>
      <c r="E71" s="673"/>
      <c r="F71" s="673"/>
      <c r="G71" s="673"/>
      <c r="H71" s="673"/>
      <c r="I71" s="673"/>
      <c r="J71" s="673"/>
      <c r="K71" s="673"/>
      <c r="L71" s="673"/>
      <c r="M71" s="673"/>
      <c r="N71" s="673"/>
      <c r="O71" s="673"/>
    </row>
    <row r="72" spans="1:15" ht="15" x14ac:dyDescent="0.2">
      <c r="A72" s="673"/>
      <c r="B72" s="673"/>
      <c r="C72" s="894" t="s">
        <v>645</v>
      </c>
      <c r="D72" s="895"/>
      <c r="E72" s="895"/>
      <c r="F72" s="895"/>
      <c r="G72" s="895" t="str">
        <f>IF(p0q9&lt;&gt;"Yes","None requested.","Quantity: "&amp;quote12&amp;"")</f>
        <v>Quantity: 3</v>
      </c>
      <c r="H72" s="895" t="str">
        <f t="shared" ref="H72:N72" si="8">IF(p0q9&lt;&gt;"Yes","None","Quantity: "&amp;quote12&amp;"")</f>
        <v>Quantity: 3</v>
      </c>
      <c r="I72" s="895" t="str">
        <f t="shared" si="8"/>
        <v>Quantity: 3</v>
      </c>
      <c r="J72" s="895" t="str">
        <f t="shared" si="8"/>
        <v>Quantity: 3</v>
      </c>
      <c r="K72" s="895" t="str">
        <f t="shared" si="8"/>
        <v>Quantity: 3</v>
      </c>
      <c r="L72" s="895" t="str">
        <f t="shared" si="8"/>
        <v>Quantity: 3</v>
      </c>
      <c r="M72" s="895" t="str">
        <f t="shared" si="8"/>
        <v>Quantity: 3</v>
      </c>
      <c r="N72" s="897" t="str">
        <f t="shared" si="8"/>
        <v>Quantity: 3</v>
      </c>
      <c r="O72" s="673"/>
    </row>
    <row r="73" spans="1:15" ht="15" x14ac:dyDescent="0.2">
      <c r="A73" s="673"/>
      <c r="B73" s="673"/>
      <c r="C73" s="677"/>
      <c r="D73" s="674"/>
      <c r="E73" s="674"/>
      <c r="F73" s="674"/>
      <c r="G73" s="886" t="str">
        <f t="shared" ref="G73:N73" si="9">IF(p0q9&lt;&gt;"Yes"," ","System: "&amp;55.1&amp;", height H = "&amp;+P10Q2&amp;" mm")</f>
        <v>System: 55.1, height H = 1168.4 mm</v>
      </c>
      <c r="H73" s="886" t="str">
        <f t="shared" si="9"/>
        <v>System: 55.1, height H = 1168.4 mm</v>
      </c>
      <c r="I73" s="886" t="str">
        <f t="shared" si="9"/>
        <v>System: 55.1, height H = 1168.4 mm</v>
      </c>
      <c r="J73" s="886" t="str">
        <f t="shared" si="9"/>
        <v>System: 55.1, height H = 1168.4 mm</v>
      </c>
      <c r="K73" s="886" t="str">
        <f t="shared" si="9"/>
        <v>System: 55.1, height H = 1168.4 mm</v>
      </c>
      <c r="L73" s="886" t="str">
        <f t="shared" si="9"/>
        <v>System: 55.1, height H = 1168.4 mm</v>
      </c>
      <c r="M73" s="886" t="str">
        <f t="shared" si="9"/>
        <v>System: 55.1, height H = 1168.4 mm</v>
      </c>
      <c r="N73" s="887" t="str">
        <f t="shared" si="9"/>
        <v>System: 55.1, height H = 1168.4 mm</v>
      </c>
      <c r="O73" s="673"/>
    </row>
    <row r="74" spans="1:15" ht="15" x14ac:dyDescent="0.2">
      <c r="A74" s="673"/>
      <c r="B74" s="673"/>
      <c r="C74" s="681"/>
      <c r="D74" s="673"/>
      <c r="E74" s="673"/>
      <c r="F74" s="673"/>
      <c r="G74" s="886" t="str">
        <f t="shared" ref="G74:N74" si="10">IF(AND(p0q9="Yes",P10q9="Yes"),"Includes Leveling Pads and Floor Mounting Brackets",IF(AND(p0q9="Yes",P10q10="Yes"),"With Swivel-Lock Casters",IF(p0q9="Yes","With Leveling Pads"," ")))</f>
        <v>With Swivel-Lock Casters</v>
      </c>
      <c r="H74" s="886" t="str">
        <f t="shared" si="10"/>
        <v>With Swivel-Lock Casters</v>
      </c>
      <c r="I74" s="886" t="str">
        <f t="shared" si="10"/>
        <v>With Swivel-Lock Casters</v>
      </c>
      <c r="J74" s="886" t="str">
        <f t="shared" si="10"/>
        <v>With Swivel-Lock Casters</v>
      </c>
      <c r="K74" s="886" t="str">
        <f t="shared" si="10"/>
        <v>With Swivel-Lock Casters</v>
      </c>
      <c r="L74" s="886" t="str">
        <f t="shared" si="10"/>
        <v>With Swivel-Lock Casters</v>
      </c>
      <c r="M74" s="886" t="str">
        <f t="shared" si="10"/>
        <v>With Swivel-Lock Casters</v>
      </c>
      <c r="N74" s="887" t="str">
        <f t="shared" si="10"/>
        <v>With Swivel-Lock Casters</v>
      </c>
      <c r="O74" s="673"/>
    </row>
    <row r="75" spans="1:15" ht="15" x14ac:dyDescent="0.2">
      <c r="A75" s="673"/>
      <c r="B75" s="673"/>
      <c r="C75" s="682"/>
      <c r="D75" s="683"/>
      <c r="E75" s="683"/>
      <c r="F75" s="683"/>
      <c r="G75" s="889" t="str">
        <f>IF(p0q9&lt;&gt;"no","Includes stringer to tie stands together.","")</f>
        <v>Includes stringer to tie stands together.</v>
      </c>
      <c r="H75" s="889"/>
      <c r="I75" s="889"/>
      <c r="J75" s="889"/>
      <c r="K75" s="889"/>
      <c r="L75" s="889"/>
      <c r="M75" s="889"/>
      <c r="N75" s="890"/>
      <c r="O75" s="673"/>
    </row>
    <row r="76" spans="1:15" ht="15" x14ac:dyDescent="0.2">
      <c r="A76" s="673"/>
      <c r="B76" s="673"/>
      <c r="C76" s="673"/>
      <c r="D76" s="673"/>
      <c r="E76" s="673"/>
      <c r="F76" s="673"/>
      <c r="G76" s="673"/>
      <c r="H76" s="673"/>
      <c r="I76" s="673"/>
      <c r="J76" s="673"/>
      <c r="K76" s="673"/>
      <c r="L76" s="673"/>
      <c r="M76" s="673"/>
      <c r="N76" s="673"/>
      <c r="O76" s="673"/>
    </row>
    <row r="77" spans="1:15" s="688" customFormat="1" ht="15.75" x14ac:dyDescent="0.2">
      <c r="A77" s="685"/>
      <c r="B77" s="673"/>
      <c r="C77" s="912" t="s">
        <v>795</v>
      </c>
      <c r="D77" s="912"/>
      <c r="E77" s="686"/>
      <c r="F77" s="913">
        <f>IF(Base="X","No suitable motor found.  Reduce size, load or speed",+'Pricing (Summary)'!J28)</f>
        <v>6531.2</v>
      </c>
      <c r="G77" s="913"/>
      <c r="H77" s="913"/>
      <c r="I77" s="913"/>
      <c r="J77" s="913"/>
      <c r="K77" s="913"/>
      <c r="L77" s="913"/>
      <c r="M77" s="913"/>
      <c r="N77" s="687" t="s">
        <v>754</v>
      </c>
    </row>
    <row r="78" spans="1:15" ht="15" x14ac:dyDescent="0.2">
      <c r="A78" s="673"/>
      <c r="B78" s="673"/>
      <c r="C78" s="898"/>
      <c r="D78" s="898"/>
      <c r="E78" s="898"/>
      <c r="F78" s="898"/>
      <c r="G78" s="898"/>
      <c r="H78" s="898"/>
      <c r="I78" s="898"/>
      <c r="J78" s="898"/>
      <c r="K78" s="898"/>
      <c r="L78" s="898"/>
      <c r="M78" s="898"/>
      <c r="N78" s="898"/>
      <c r="O78" s="898"/>
    </row>
    <row r="79" spans="1:15" ht="15" x14ac:dyDescent="0.2">
      <c r="A79" s="673"/>
      <c r="B79" s="673"/>
      <c r="C79" s="885" t="s">
        <v>830</v>
      </c>
      <c r="D79" s="885"/>
      <c r="E79" s="885"/>
      <c r="F79" s="885"/>
      <c r="G79" s="885"/>
      <c r="H79" s="885"/>
      <c r="I79" s="885"/>
      <c r="J79" s="885"/>
      <c r="K79" s="885"/>
      <c r="L79" s="885"/>
      <c r="M79" s="885"/>
      <c r="N79" s="885"/>
      <c r="O79" s="673"/>
    </row>
    <row r="80" spans="1:15" ht="15" x14ac:dyDescent="0.2">
      <c r="A80" s="673"/>
      <c r="B80" s="673"/>
      <c r="C80" s="896" t="str">
        <f>"●  Standard delivery "&amp;+IF(AND(quote44&lt;=0.125,P0Q2&lt;=600),"1-1/2 weeks","2-3 weeks")&amp;" ARO"</f>
        <v>●  Standard delivery 2-3 weeks ARO</v>
      </c>
      <c r="D80" s="896"/>
      <c r="E80" s="896"/>
      <c r="F80" s="896"/>
      <c r="G80" s="896"/>
      <c r="H80" s="896"/>
      <c r="I80" s="896"/>
      <c r="J80" s="896"/>
      <c r="K80" s="896"/>
      <c r="L80" s="896"/>
      <c r="M80" s="896"/>
      <c r="N80" s="896"/>
      <c r="O80" s="896"/>
    </row>
    <row r="81" spans="1:15" ht="15" x14ac:dyDescent="0.2">
      <c r="A81" s="673"/>
      <c r="B81" s="673"/>
      <c r="C81" s="898" t="s">
        <v>2252</v>
      </c>
      <c r="D81" s="898"/>
      <c r="E81" s="898"/>
      <c r="F81" s="898"/>
      <c r="G81" s="898"/>
      <c r="H81" s="898"/>
      <c r="I81" s="898"/>
      <c r="J81" s="898"/>
      <c r="K81" s="898"/>
      <c r="L81" s="898"/>
      <c r="M81" s="898"/>
      <c r="N81" s="898"/>
      <c r="O81" s="898"/>
    </row>
    <row r="82" spans="1:15" ht="15" x14ac:dyDescent="0.2">
      <c r="A82" s="673"/>
      <c r="B82" s="673"/>
      <c r="C82" s="898" t="s">
        <v>827</v>
      </c>
      <c r="D82" s="898"/>
      <c r="E82" s="898"/>
      <c r="F82" s="898"/>
      <c r="G82" s="898"/>
      <c r="H82" s="898"/>
      <c r="I82" s="898"/>
      <c r="J82" s="898"/>
      <c r="K82" s="898"/>
      <c r="L82" s="898"/>
      <c r="M82" s="898"/>
      <c r="N82" s="898"/>
      <c r="O82" s="898"/>
    </row>
    <row r="83" spans="1:15" ht="15" x14ac:dyDescent="0.2">
      <c r="A83" s="673"/>
      <c r="B83" s="673"/>
      <c r="C83" s="898" t="s">
        <v>828</v>
      </c>
      <c r="D83" s="898"/>
      <c r="E83" s="898"/>
      <c r="F83" s="898"/>
      <c r="G83" s="898"/>
      <c r="H83" s="898"/>
      <c r="I83" s="898"/>
      <c r="J83" s="898"/>
      <c r="K83" s="898"/>
      <c r="L83" s="898"/>
      <c r="M83" s="898"/>
      <c r="N83" s="898"/>
      <c r="O83" s="898"/>
    </row>
    <row r="84" spans="1:15" ht="15" x14ac:dyDescent="0.2">
      <c r="A84" s="673"/>
      <c r="B84" s="673"/>
      <c r="C84" s="898" t="s">
        <v>829</v>
      </c>
      <c r="D84" s="898"/>
      <c r="E84" s="898"/>
      <c r="F84" s="898"/>
      <c r="G84" s="898"/>
      <c r="H84" s="898"/>
      <c r="I84" s="898"/>
      <c r="J84" s="898"/>
      <c r="K84" s="898"/>
      <c r="L84" s="898"/>
      <c r="M84" s="898"/>
      <c r="N84" s="898"/>
      <c r="O84" s="898"/>
    </row>
    <row r="85" spans="1:15" ht="15" x14ac:dyDescent="0.2">
      <c r="A85" s="673"/>
      <c r="B85" s="673"/>
      <c r="C85" s="898" t="s">
        <v>831</v>
      </c>
      <c r="D85" s="898"/>
      <c r="E85" s="898"/>
      <c r="F85" s="898"/>
      <c r="G85" s="898"/>
      <c r="H85" s="898"/>
      <c r="I85" s="898"/>
      <c r="J85" s="898"/>
      <c r="K85" s="898"/>
      <c r="L85" s="898"/>
      <c r="M85" s="898"/>
      <c r="N85" s="898"/>
      <c r="O85" s="898"/>
    </row>
    <row r="86" spans="1:15" ht="15" x14ac:dyDescent="0.2">
      <c r="A86" s="673"/>
      <c r="B86" s="673"/>
      <c r="C86" s="898" t="s">
        <v>2088</v>
      </c>
      <c r="D86" s="898"/>
      <c r="E86" s="898"/>
      <c r="F86" s="898"/>
      <c r="G86" s="898"/>
      <c r="H86" s="898"/>
      <c r="I86" s="898"/>
      <c r="J86" s="898"/>
      <c r="K86" s="898"/>
      <c r="L86" s="898"/>
      <c r="M86" s="898"/>
      <c r="N86" s="898"/>
      <c r="O86" s="898"/>
    </row>
    <row r="87" spans="1:15" ht="15" x14ac:dyDescent="0.2">
      <c r="A87" s="673"/>
      <c r="B87" s="673"/>
      <c r="C87" s="898" t="s">
        <v>2089</v>
      </c>
      <c r="D87" s="898"/>
      <c r="E87" s="898"/>
      <c r="F87" s="898"/>
      <c r="G87" s="898"/>
      <c r="H87" s="898"/>
      <c r="I87" s="898"/>
      <c r="J87" s="898"/>
      <c r="K87" s="898"/>
      <c r="L87" s="898"/>
      <c r="M87" s="898"/>
      <c r="N87" s="898"/>
      <c r="O87" s="898"/>
    </row>
    <row r="88" spans="1:15" ht="15" x14ac:dyDescent="0.2">
      <c r="A88" s="673"/>
      <c r="B88" s="673"/>
      <c r="C88" s="748"/>
      <c r="D88" s="748"/>
      <c r="E88" s="748"/>
      <c r="F88" s="748"/>
      <c r="G88" s="748"/>
      <c r="H88" s="748"/>
      <c r="I88" s="748"/>
      <c r="J88" s="748"/>
      <c r="K88" s="748"/>
      <c r="L88" s="748"/>
      <c r="M88" s="748"/>
      <c r="N88" s="748"/>
      <c r="O88" s="748"/>
    </row>
    <row r="89" spans="1:15" ht="15" x14ac:dyDescent="0.2">
      <c r="A89" s="673"/>
      <c r="B89" s="673"/>
      <c r="C89" s="885" t="s">
        <v>832</v>
      </c>
      <c r="D89" s="885"/>
      <c r="E89" s="885"/>
      <c r="F89" s="885"/>
      <c r="G89" s="885"/>
      <c r="H89" s="885"/>
      <c r="I89" s="885"/>
      <c r="J89" s="885"/>
      <c r="K89" s="885"/>
      <c r="L89" s="885"/>
      <c r="M89" s="885"/>
      <c r="N89" s="885"/>
      <c r="O89" s="673"/>
    </row>
    <row r="90" spans="1:15" ht="15" x14ac:dyDescent="0.2">
      <c r="A90" s="673"/>
      <c r="B90" s="673"/>
      <c r="C90" s="898" t="s">
        <v>2253</v>
      </c>
      <c r="D90" s="898"/>
      <c r="E90" s="898"/>
      <c r="F90" s="898"/>
      <c r="G90" s="898"/>
      <c r="H90" s="898"/>
      <c r="I90" s="898"/>
      <c r="J90" s="898"/>
      <c r="K90" s="898"/>
      <c r="L90" s="898"/>
      <c r="M90" s="898"/>
      <c r="N90" s="898"/>
      <c r="O90" s="898"/>
    </row>
    <row r="91" spans="1:15" ht="15" x14ac:dyDescent="0.2">
      <c r="A91" s="673"/>
      <c r="B91" s="673"/>
      <c r="C91" s="898" t="s">
        <v>2254</v>
      </c>
      <c r="D91" s="898"/>
      <c r="E91" s="898"/>
      <c r="F91" s="898"/>
      <c r="G91" s="898"/>
      <c r="H91" s="898"/>
      <c r="I91" s="898"/>
      <c r="J91" s="898"/>
      <c r="K91" s="898"/>
      <c r="L91" s="898"/>
      <c r="M91" s="898"/>
      <c r="N91" s="898"/>
      <c r="O91" s="898"/>
    </row>
    <row r="92" spans="1:15" ht="15" x14ac:dyDescent="0.2">
      <c r="A92" s="673"/>
      <c r="B92" s="673"/>
      <c r="C92" s="898" t="s">
        <v>2255</v>
      </c>
      <c r="D92" s="898"/>
      <c r="E92" s="898"/>
      <c r="F92" s="898"/>
      <c r="G92" s="898"/>
      <c r="H92" s="898"/>
      <c r="I92" s="898"/>
      <c r="J92" s="898"/>
      <c r="K92" s="898"/>
      <c r="L92" s="898"/>
      <c r="M92" s="898"/>
      <c r="N92" s="898"/>
      <c r="O92" s="898"/>
    </row>
    <row r="93" spans="1:15" ht="15" x14ac:dyDescent="0.2">
      <c r="A93" s="673"/>
      <c r="B93" s="673"/>
      <c r="C93" s="898"/>
      <c r="D93" s="898"/>
      <c r="E93" s="898"/>
      <c r="F93" s="898"/>
      <c r="G93" s="898"/>
      <c r="H93" s="898"/>
      <c r="I93" s="898"/>
      <c r="J93" s="898"/>
      <c r="K93" s="898"/>
      <c r="L93" s="898"/>
      <c r="M93" s="898"/>
      <c r="N93" s="898"/>
      <c r="O93" s="898"/>
    </row>
    <row r="94" spans="1:15" ht="15" x14ac:dyDescent="0.2">
      <c r="A94" s="673"/>
      <c r="B94" s="673"/>
      <c r="C94" s="908" t="s">
        <v>2267</v>
      </c>
      <c r="D94" s="908"/>
      <c r="E94" s="908"/>
      <c r="F94" s="908"/>
      <c r="G94" s="908"/>
      <c r="H94" s="908"/>
      <c r="I94" s="908"/>
      <c r="J94" s="908"/>
      <c r="K94" s="908"/>
      <c r="L94" s="908"/>
      <c r="M94" s="908"/>
      <c r="N94" s="908"/>
      <c r="O94" s="748"/>
    </row>
    <row r="95" spans="1:15" ht="15" x14ac:dyDescent="0.2">
      <c r="A95" s="673"/>
      <c r="B95" s="673"/>
      <c r="C95" s="898" t="s">
        <v>2256</v>
      </c>
      <c r="D95" s="898"/>
      <c r="E95" s="898"/>
      <c r="F95" s="898"/>
      <c r="G95" s="898"/>
      <c r="H95" s="898"/>
      <c r="I95" s="898"/>
      <c r="J95" s="898"/>
      <c r="K95" s="898"/>
      <c r="L95" s="898"/>
      <c r="M95" s="898"/>
      <c r="N95" s="898"/>
      <c r="O95" s="898"/>
    </row>
    <row r="96" spans="1:15" ht="15" x14ac:dyDescent="0.2">
      <c r="A96" s="673"/>
      <c r="B96" s="673"/>
      <c r="C96" s="908" t="s">
        <v>2268</v>
      </c>
      <c r="D96" s="908"/>
      <c r="E96" s="908"/>
      <c r="F96" s="908"/>
      <c r="G96" s="908"/>
      <c r="H96" s="908"/>
      <c r="I96" s="908"/>
      <c r="J96" s="908"/>
      <c r="K96" s="908"/>
      <c r="L96" s="908"/>
      <c r="M96" s="908"/>
      <c r="N96" s="908"/>
    </row>
    <row r="97" spans="1:15" ht="15" x14ac:dyDescent="0.2">
      <c r="A97" s="673"/>
      <c r="B97" s="673"/>
      <c r="C97" s="898" t="s">
        <v>2269</v>
      </c>
      <c r="D97" s="898"/>
      <c r="E97" s="898"/>
      <c r="F97" s="898"/>
      <c r="G97" s="898"/>
      <c r="H97" s="898"/>
      <c r="I97" s="898"/>
      <c r="J97" s="898"/>
      <c r="K97" s="898"/>
      <c r="L97" s="898"/>
      <c r="M97" s="898"/>
      <c r="N97" s="898"/>
      <c r="O97" s="898"/>
    </row>
    <row r="98" spans="1:15" ht="15" x14ac:dyDescent="0.2">
      <c r="A98" s="673"/>
      <c r="B98" s="673"/>
      <c r="C98" s="898" t="s">
        <v>2270</v>
      </c>
      <c r="D98" s="898"/>
      <c r="E98" s="898"/>
      <c r="F98" s="898"/>
      <c r="G98" s="898"/>
      <c r="H98" s="898"/>
      <c r="I98" s="898"/>
      <c r="J98" s="898"/>
      <c r="K98" s="898"/>
      <c r="L98" s="898"/>
      <c r="M98" s="898"/>
      <c r="N98" s="898"/>
      <c r="O98" s="898"/>
    </row>
    <row r="99" spans="1:15" ht="15" x14ac:dyDescent="0.2">
      <c r="A99" s="673"/>
      <c r="B99" s="673"/>
      <c r="C99" s="898" t="s">
        <v>2271</v>
      </c>
      <c r="D99" s="898"/>
      <c r="E99" s="898"/>
      <c r="F99" s="898"/>
      <c r="G99" s="898"/>
      <c r="H99" s="898"/>
      <c r="I99" s="898"/>
      <c r="J99" s="898"/>
      <c r="K99" s="898"/>
      <c r="L99" s="898"/>
      <c r="M99" s="898"/>
      <c r="N99" s="898"/>
      <c r="O99" s="898"/>
    </row>
    <row r="100" spans="1:15" ht="15" x14ac:dyDescent="0.2">
      <c r="A100" s="673"/>
      <c r="B100" s="673"/>
      <c r="C100" s="898"/>
      <c r="D100" s="898"/>
      <c r="E100" s="898"/>
      <c r="F100" s="898"/>
      <c r="G100" s="898"/>
      <c r="H100" s="898"/>
      <c r="I100" s="898"/>
      <c r="J100" s="898"/>
      <c r="K100" s="898"/>
      <c r="L100" s="898"/>
      <c r="M100" s="898"/>
      <c r="N100" s="898"/>
      <c r="O100" s="898"/>
    </row>
    <row r="101" spans="1:15" ht="15" x14ac:dyDescent="0.2">
      <c r="A101" s="673"/>
      <c r="B101" s="673"/>
      <c r="C101" s="910" t="s">
        <v>2257</v>
      </c>
      <c r="D101" s="910"/>
      <c r="E101" s="910"/>
      <c r="F101" s="910"/>
      <c r="G101" s="910"/>
      <c r="H101" s="910"/>
      <c r="I101" s="910"/>
      <c r="J101" s="910"/>
      <c r="K101" s="910"/>
      <c r="L101" s="910"/>
      <c r="M101" s="910"/>
      <c r="N101" s="910"/>
      <c r="O101" s="910"/>
    </row>
    <row r="102" spans="1:15" ht="13.5" customHeight="1" x14ac:dyDescent="0.2">
      <c r="A102" s="673"/>
      <c r="B102" s="673"/>
      <c r="C102" s="898" t="s">
        <v>2258</v>
      </c>
      <c r="D102" s="898"/>
      <c r="E102" s="898"/>
      <c r="F102" s="898"/>
      <c r="G102" s="898"/>
      <c r="H102" s="898"/>
      <c r="I102" s="898"/>
      <c r="J102" s="898"/>
      <c r="K102" s="898"/>
      <c r="L102" s="898"/>
      <c r="M102" s="898"/>
      <c r="N102" s="898"/>
      <c r="O102" s="898"/>
    </row>
    <row r="103" spans="1:15" ht="13.5" customHeight="1" x14ac:dyDescent="0.2">
      <c r="A103" s="673"/>
      <c r="B103" s="673"/>
      <c r="C103" s="898" t="s">
        <v>2259</v>
      </c>
      <c r="D103" s="898"/>
      <c r="E103" s="898"/>
      <c r="F103" s="898"/>
      <c r="G103" s="898"/>
      <c r="H103" s="898"/>
      <c r="I103" s="898"/>
      <c r="J103" s="898"/>
      <c r="K103" s="898"/>
      <c r="L103" s="898"/>
      <c r="M103" s="898"/>
      <c r="N103" s="898"/>
      <c r="O103" s="898"/>
    </row>
    <row r="104" spans="1:15" ht="13.5" customHeight="1" x14ac:dyDescent="0.2">
      <c r="A104" s="673"/>
      <c r="B104" s="673"/>
      <c r="C104" s="898" t="s">
        <v>2260</v>
      </c>
      <c r="D104" s="898"/>
      <c r="E104" s="898"/>
      <c r="F104" s="898"/>
      <c r="G104" s="898"/>
      <c r="H104" s="898"/>
      <c r="I104" s="898"/>
      <c r="J104" s="898"/>
      <c r="K104" s="898"/>
      <c r="L104" s="898"/>
      <c r="M104" s="898"/>
      <c r="N104" s="898"/>
      <c r="O104" s="898"/>
    </row>
    <row r="105" spans="1:15" ht="13.5" customHeight="1" x14ac:dyDescent="0.2">
      <c r="A105" s="673"/>
      <c r="B105" s="673"/>
      <c r="C105" s="898" t="s">
        <v>2261</v>
      </c>
      <c r="D105" s="898"/>
      <c r="E105" s="898"/>
      <c r="F105" s="898"/>
      <c r="G105" s="898"/>
      <c r="H105" s="898"/>
      <c r="I105" s="898"/>
      <c r="J105" s="898"/>
      <c r="K105" s="898"/>
      <c r="L105" s="898"/>
      <c r="M105" s="898"/>
      <c r="N105" s="898"/>
      <c r="O105" s="898"/>
    </row>
    <row r="106" spans="1:15" ht="13.5" customHeight="1" x14ac:dyDescent="0.2">
      <c r="A106" s="673"/>
      <c r="B106" s="673"/>
      <c r="C106" s="898" t="s">
        <v>2262</v>
      </c>
      <c r="D106" s="898"/>
      <c r="E106" s="898"/>
      <c r="F106" s="898"/>
      <c r="G106" s="898"/>
      <c r="H106" s="898"/>
      <c r="I106" s="898"/>
      <c r="J106" s="898"/>
      <c r="K106" s="898"/>
      <c r="L106" s="898"/>
      <c r="M106" s="898"/>
      <c r="N106" s="898"/>
      <c r="O106" s="898"/>
    </row>
    <row r="107" spans="1:15" ht="15" x14ac:dyDescent="0.2">
      <c r="A107" s="673"/>
      <c r="B107" s="673"/>
      <c r="C107" s="689"/>
      <c r="D107" s="689"/>
      <c r="E107" s="689"/>
      <c r="F107" s="689"/>
      <c r="G107" s="689"/>
      <c r="H107" s="689"/>
      <c r="I107" s="689"/>
      <c r="J107" s="689"/>
      <c r="K107" s="689"/>
      <c r="L107" s="689"/>
      <c r="M107" s="689"/>
      <c r="N107" s="689"/>
      <c r="O107" s="689"/>
    </row>
    <row r="108" spans="1:15" ht="14.25" customHeight="1" x14ac:dyDescent="0.3">
      <c r="C108" s="684"/>
      <c r="D108" s="684"/>
      <c r="E108" s="684"/>
      <c r="F108" s="684"/>
      <c r="G108" s="684"/>
      <c r="H108" s="684"/>
      <c r="I108" s="684"/>
      <c r="J108" s="684"/>
    </row>
    <row r="109" spans="1:15" ht="15" customHeight="1" x14ac:dyDescent="0.3">
      <c r="A109" s="673"/>
      <c r="B109" s="673"/>
      <c r="C109" s="684"/>
      <c r="D109" s="684"/>
      <c r="E109" s="684"/>
      <c r="F109" s="684"/>
      <c r="G109" s="684"/>
      <c r="H109" s="684"/>
      <c r="I109" s="684"/>
      <c r="J109" s="684"/>
      <c r="K109" s="674"/>
      <c r="L109" s="891" t="s">
        <v>2057</v>
      </c>
      <c r="M109" s="891"/>
      <c r="N109" s="891" t="s">
        <v>2059</v>
      </c>
      <c r="O109" s="891"/>
    </row>
    <row r="110" spans="1:15" ht="15" customHeight="1" x14ac:dyDescent="0.3">
      <c r="A110" s="673"/>
      <c r="B110" s="673"/>
      <c r="C110" s="684"/>
      <c r="D110" s="684"/>
      <c r="E110" s="684"/>
      <c r="F110" s="684"/>
      <c r="G110" s="684"/>
      <c r="H110" s="684"/>
      <c r="I110" s="684"/>
      <c r="J110" s="684"/>
      <c r="K110" s="674"/>
      <c r="L110" s="891" t="s">
        <v>2058</v>
      </c>
      <c r="M110" s="891"/>
      <c r="N110" s="891" t="s">
        <v>2060</v>
      </c>
      <c r="O110" s="891"/>
    </row>
    <row r="111" spans="1:15" ht="15" customHeight="1" x14ac:dyDescent="0.3">
      <c r="A111" s="673"/>
      <c r="B111" s="673"/>
      <c r="C111" s="684"/>
      <c r="D111" s="684"/>
      <c r="E111" s="684"/>
      <c r="F111" s="684"/>
      <c r="G111" s="684"/>
      <c r="H111" s="684"/>
      <c r="I111" s="684"/>
      <c r="J111" s="684"/>
      <c r="K111" s="674"/>
      <c r="L111" s="892" t="s">
        <v>2085</v>
      </c>
      <c r="M111" s="892"/>
      <c r="N111" s="892" t="s">
        <v>2062</v>
      </c>
      <c r="O111" s="892"/>
    </row>
    <row r="112" spans="1:15" ht="15.75" customHeight="1" thickBot="1" x14ac:dyDescent="0.25">
      <c r="A112" s="791"/>
      <c r="B112" s="791"/>
      <c r="C112" s="791"/>
      <c r="D112" s="791"/>
      <c r="E112" s="791"/>
      <c r="F112" s="791"/>
      <c r="G112" s="791"/>
      <c r="H112" s="791"/>
      <c r="I112" s="791"/>
      <c r="J112" s="791"/>
      <c r="K112" s="791"/>
      <c r="L112" s="791"/>
      <c r="M112" s="791"/>
      <c r="N112" s="791"/>
      <c r="O112" s="791"/>
    </row>
    <row r="113" spans="1:15" ht="13.15" customHeight="1" thickTop="1" x14ac:dyDescent="0.2">
      <c r="A113" s="673"/>
      <c r="B113" s="673"/>
      <c r="C113" s="909" t="str">
        <f>+"Proposal # "&amp;info2</f>
        <v xml:space="preserve">Proposal # </v>
      </c>
      <c r="D113" s="909"/>
      <c r="E113" s="909"/>
      <c r="F113" s="909"/>
      <c r="G113" s="909"/>
      <c r="H113" s="909"/>
      <c r="I113" s="909"/>
      <c r="J113" s="909"/>
      <c r="K113" s="674"/>
      <c r="L113" s="674"/>
      <c r="M113" s="674"/>
      <c r="N113" s="673"/>
      <c r="O113" s="673"/>
    </row>
    <row r="114" spans="1:15" ht="12.75" customHeight="1" x14ac:dyDescent="0.2">
      <c r="A114" s="673"/>
      <c r="B114" s="673"/>
      <c r="C114" s="909"/>
      <c r="D114" s="909"/>
      <c r="E114" s="909"/>
      <c r="F114" s="909"/>
      <c r="G114" s="909"/>
      <c r="H114" s="909"/>
      <c r="I114" s="909"/>
      <c r="J114" s="909"/>
      <c r="K114" s="674"/>
      <c r="L114" s="674"/>
      <c r="M114" s="674"/>
      <c r="N114" s="673"/>
      <c r="O114" s="673"/>
    </row>
    <row r="115" spans="1:15" ht="12.75" customHeight="1" x14ac:dyDescent="0.3">
      <c r="A115" s="673"/>
      <c r="B115" s="673"/>
      <c r="C115" s="684"/>
      <c r="D115" s="684"/>
      <c r="E115" s="684"/>
      <c r="F115" s="684"/>
      <c r="G115" s="684"/>
      <c r="H115" s="684"/>
      <c r="I115" s="684"/>
      <c r="J115" s="684"/>
      <c r="K115" s="674"/>
      <c r="L115" s="674"/>
      <c r="M115" s="674"/>
      <c r="N115" s="673"/>
      <c r="O115" s="673"/>
    </row>
    <row r="116" spans="1:15" ht="12.75" customHeight="1" x14ac:dyDescent="0.2">
      <c r="A116" s="673"/>
      <c r="B116" s="673"/>
      <c r="C116" s="898" t="s">
        <v>2263</v>
      </c>
      <c r="D116" s="898"/>
      <c r="E116" s="898"/>
      <c r="F116" s="898"/>
      <c r="G116" s="898"/>
      <c r="H116" s="898"/>
      <c r="I116" s="898"/>
      <c r="J116" s="898"/>
      <c r="K116" s="898"/>
      <c r="L116" s="898"/>
      <c r="M116" s="898"/>
      <c r="N116" s="898"/>
      <c r="O116" s="898"/>
    </row>
    <row r="117" spans="1:15" ht="12.75" customHeight="1" x14ac:dyDescent="0.2">
      <c r="A117" s="673"/>
      <c r="B117" s="673"/>
      <c r="C117" s="898" t="s">
        <v>2264</v>
      </c>
      <c r="D117" s="898"/>
      <c r="E117" s="898"/>
      <c r="F117" s="898"/>
      <c r="G117" s="898"/>
      <c r="H117" s="898"/>
      <c r="I117" s="898"/>
      <c r="J117" s="898"/>
      <c r="K117" s="898"/>
      <c r="L117" s="898"/>
      <c r="M117" s="898"/>
      <c r="N117" s="898"/>
      <c r="O117" s="898"/>
    </row>
    <row r="118" spans="1:15" ht="12.75" customHeight="1" x14ac:dyDescent="0.2">
      <c r="A118" s="673"/>
      <c r="B118" s="673"/>
      <c r="C118" s="898" t="s">
        <v>2265</v>
      </c>
      <c r="D118" s="898"/>
      <c r="E118" s="898"/>
      <c r="F118" s="898"/>
      <c r="G118" s="898"/>
      <c r="H118" s="898"/>
      <c r="I118" s="898"/>
      <c r="J118" s="898"/>
      <c r="K118" s="898"/>
      <c r="L118" s="898"/>
      <c r="M118" s="898"/>
      <c r="N118" s="898"/>
      <c r="O118" s="898"/>
    </row>
    <row r="119" spans="1:15" ht="12.75" customHeight="1" x14ac:dyDescent="0.2">
      <c r="A119" s="673"/>
      <c r="B119" s="673"/>
      <c r="C119" s="898" t="s">
        <v>2266</v>
      </c>
      <c r="D119" s="898"/>
      <c r="E119" s="898"/>
      <c r="F119" s="898"/>
      <c r="G119" s="898"/>
      <c r="H119" s="898"/>
      <c r="I119" s="898"/>
      <c r="J119" s="898"/>
      <c r="K119" s="898"/>
      <c r="L119" s="898"/>
      <c r="M119" s="898"/>
      <c r="N119" s="898"/>
      <c r="O119" s="898"/>
    </row>
    <row r="120" spans="1:15" ht="12.75" customHeight="1" x14ac:dyDescent="0.2">
      <c r="A120" s="673"/>
      <c r="B120" s="673"/>
      <c r="C120" s="898"/>
      <c r="D120" s="898"/>
      <c r="E120" s="898"/>
      <c r="F120" s="898"/>
      <c r="G120" s="898"/>
      <c r="H120" s="898"/>
      <c r="I120" s="898"/>
      <c r="J120" s="898"/>
      <c r="K120" s="898"/>
      <c r="L120" s="898"/>
      <c r="M120" s="898"/>
      <c r="N120" s="898"/>
      <c r="O120" s="898"/>
    </row>
    <row r="121" spans="1:15" ht="13.5" customHeight="1" x14ac:dyDescent="0.2">
      <c r="A121" s="673"/>
      <c r="B121" s="673"/>
      <c r="C121" s="910" t="s">
        <v>2272</v>
      </c>
      <c r="D121" s="910"/>
      <c r="E121" s="910"/>
      <c r="F121" s="910"/>
      <c r="G121" s="910"/>
      <c r="H121" s="910"/>
      <c r="I121" s="910"/>
      <c r="J121" s="910"/>
      <c r="K121" s="910"/>
      <c r="L121" s="910"/>
      <c r="M121" s="910"/>
      <c r="N121" s="910"/>
      <c r="O121" s="910"/>
    </row>
    <row r="122" spans="1:15" ht="13.5" customHeight="1" x14ac:dyDescent="0.2">
      <c r="A122" s="673"/>
      <c r="B122" s="673"/>
      <c r="C122" s="749" t="s">
        <v>2273</v>
      </c>
      <c r="D122" s="750"/>
      <c r="E122" s="750"/>
      <c r="F122" s="750"/>
      <c r="G122" s="750"/>
      <c r="H122" s="750"/>
      <c r="I122" s="750"/>
      <c r="J122" s="750"/>
      <c r="K122" s="750"/>
      <c r="L122" s="750"/>
      <c r="M122" s="750"/>
      <c r="N122" s="750"/>
      <c r="O122" s="750"/>
    </row>
    <row r="123" spans="1:15" ht="13.5" customHeight="1" x14ac:dyDescent="0.3">
      <c r="A123" s="673"/>
      <c r="B123" s="673"/>
      <c r="C123" s="753" t="s">
        <v>2274</v>
      </c>
      <c r="D123" s="751"/>
      <c r="E123" s="751"/>
      <c r="F123" s="751"/>
      <c r="G123" s="751"/>
      <c r="H123" s="751"/>
      <c r="I123" s="751"/>
      <c r="J123" s="751"/>
      <c r="K123" s="752"/>
      <c r="L123" s="752"/>
      <c r="M123" s="752"/>
      <c r="N123" s="750"/>
      <c r="O123" s="750"/>
    </row>
    <row r="124" spans="1:15" ht="13.5" customHeight="1" x14ac:dyDescent="0.2">
      <c r="A124" s="673"/>
      <c r="B124" s="673"/>
      <c r="C124" s="753" t="s">
        <v>2275</v>
      </c>
      <c r="D124" s="753"/>
      <c r="E124" s="753"/>
      <c r="F124" s="753"/>
      <c r="G124" s="753"/>
      <c r="H124" s="753"/>
      <c r="I124" s="753"/>
      <c r="J124" s="753"/>
      <c r="K124" s="754"/>
      <c r="L124" s="754"/>
      <c r="M124" s="754"/>
      <c r="N124" s="749"/>
      <c r="O124" s="749"/>
    </row>
    <row r="125" spans="1:15" ht="13.5" customHeight="1" x14ac:dyDescent="0.2">
      <c r="A125" s="673"/>
      <c r="B125" s="673"/>
      <c r="C125" s="753" t="s">
        <v>2276</v>
      </c>
      <c r="D125" s="753"/>
      <c r="E125" s="753"/>
      <c r="F125" s="753"/>
      <c r="G125" s="753"/>
      <c r="H125" s="753"/>
      <c r="I125" s="753"/>
      <c r="J125" s="753"/>
      <c r="K125" s="754"/>
      <c r="L125" s="754"/>
      <c r="M125" s="754"/>
      <c r="N125" s="749"/>
      <c r="O125" s="749"/>
    </row>
    <row r="126" spans="1:15" ht="13.5" customHeight="1" x14ac:dyDescent="0.2">
      <c r="A126" s="673"/>
      <c r="B126" s="673"/>
      <c r="C126" s="753" t="s">
        <v>2277</v>
      </c>
      <c r="D126" s="753"/>
      <c r="E126" s="753"/>
      <c r="F126" s="753"/>
      <c r="G126" s="753"/>
      <c r="H126" s="753"/>
      <c r="I126" s="753"/>
      <c r="J126" s="753"/>
      <c r="K126" s="754"/>
      <c r="L126" s="754"/>
      <c r="M126" s="754"/>
      <c r="N126" s="749"/>
      <c r="O126" s="749"/>
    </row>
    <row r="127" spans="1:15" ht="13.5" customHeight="1" x14ac:dyDescent="0.2">
      <c r="A127" s="673"/>
      <c r="B127" s="673"/>
      <c r="C127" s="753" t="s">
        <v>2278</v>
      </c>
      <c r="D127" s="753"/>
      <c r="E127" s="753"/>
      <c r="F127" s="753"/>
      <c r="G127" s="753"/>
      <c r="H127" s="753"/>
      <c r="I127" s="753"/>
      <c r="J127" s="753"/>
      <c r="K127" s="754"/>
      <c r="L127" s="754"/>
      <c r="M127" s="754"/>
      <c r="N127" s="749"/>
      <c r="O127" s="749"/>
    </row>
    <row r="128" spans="1:15" ht="13.5" customHeight="1" x14ac:dyDescent="0.2">
      <c r="A128" s="673"/>
      <c r="B128" s="673"/>
      <c r="C128" s="753" t="s">
        <v>2279</v>
      </c>
      <c r="D128" s="753"/>
      <c r="E128" s="753"/>
      <c r="F128" s="753"/>
      <c r="G128" s="753"/>
      <c r="H128" s="753"/>
      <c r="I128" s="753"/>
      <c r="J128" s="753"/>
      <c r="K128" s="754"/>
      <c r="L128" s="754"/>
      <c r="M128" s="754"/>
      <c r="N128" s="749"/>
      <c r="O128" s="749"/>
    </row>
    <row r="129" spans="1:15" ht="13.5" customHeight="1" x14ac:dyDescent="0.2">
      <c r="A129" s="673"/>
      <c r="B129" s="673"/>
      <c r="C129" s="753"/>
      <c r="D129" s="753"/>
      <c r="E129" s="753"/>
      <c r="F129" s="753"/>
      <c r="G129" s="753"/>
      <c r="H129" s="753"/>
      <c r="I129" s="753"/>
      <c r="J129" s="753"/>
      <c r="K129" s="754"/>
      <c r="L129" s="754"/>
      <c r="M129" s="754"/>
      <c r="N129" s="749"/>
      <c r="O129" s="749"/>
    </row>
    <row r="130" spans="1:15" ht="13.5" customHeight="1" x14ac:dyDescent="0.2">
      <c r="A130" s="673"/>
      <c r="B130" s="673"/>
      <c r="C130" s="910" t="s">
        <v>2280</v>
      </c>
      <c r="D130" s="910"/>
      <c r="E130" s="910"/>
      <c r="F130" s="910"/>
      <c r="G130" s="910"/>
      <c r="H130" s="910"/>
      <c r="I130" s="910"/>
      <c r="J130" s="910"/>
      <c r="K130" s="910"/>
      <c r="L130" s="910"/>
      <c r="M130" s="910"/>
      <c r="N130" s="910"/>
      <c r="O130" s="910"/>
    </row>
    <row r="131" spans="1:15" ht="13.5" customHeight="1" x14ac:dyDescent="0.2">
      <c r="A131" s="673"/>
      <c r="B131" s="673"/>
      <c r="C131" s="753"/>
      <c r="D131" s="753"/>
      <c r="E131" s="753"/>
      <c r="F131" s="753"/>
      <c r="G131" s="753"/>
      <c r="H131" s="753"/>
      <c r="I131" s="753"/>
      <c r="J131" s="753"/>
      <c r="K131" s="754"/>
      <c r="L131" s="754"/>
      <c r="M131" s="754"/>
      <c r="N131" s="749"/>
      <c r="O131" s="749"/>
    </row>
    <row r="132" spans="1:15" ht="13.5" customHeight="1" x14ac:dyDescent="0.2">
      <c r="A132" s="673"/>
      <c r="B132" s="673"/>
      <c r="C132" s="910" t="s">
        <v>2281</v>
      </c>
      <c r="D132" s="910"/>
      <c r="E132" s="910"/>
      <c r="F132" s="910"/>
      <c r="G132" s="910"/>
      <c r="H132" s="910"/>
      <c r="I132" s="910"/>
      <c r="J132" s="910"/>
      <c r="K132" s="910"/>
      <c r="L132" s="910"/>
      <c r="M132" s="910"/>
      <c r="N132" s="910"/>
      <c r="O132" s="910"/>
    </row>
    <row r="133" spans="1:15" ht="13.5" customHeight="1" x14ac:dyDescent="0.2">
      <c r="A133" s="673"/>
      <c r="B133" s="673"/>
      <c r="C133" s="753"/>
      <c r="D133" s="753"/>
      <c r="E133" s="753"/>
      <c r="F133" s="753"/>
      <c r="G133" s="753"/>
      <c r="H133" s="753"/>
      <c r="I133" s="753"/>
      <c r="J133" s="753"/>
      <c r="K133" s="754"/>
      <c r="L133" s="754"/>
      <c r="M133" s="754"/>
      <c r="N133" s="749"/>
      <c r="O133" s="749"/>
    </row>
    <row r="134" spans="1:15" ht="13.5" customHeight="1" x14ac:dyDescent="0.2">
      <c r="A134" s="673"/>
      <c r="B134" s="673"/>
      <c r="C134" s="755" t="s">
        <v>2282</v>
      </c>
      <c r="D134" s="753"/>
      <c r="E134" s="753"/>
      <c r="F134" s="753"/>
      <c r="G134" s="753"/>
      <c r="H134" s="753"/>
      <c r="I134" s="753"/>
      <c r="J134" s="753"/>
      <c r="K134" s="754"/>
      <c r="L134" s="754"/>
      <c r="M134" s="754"/>
      <c r="N134" s="749"/>
      <c r="O134" s="749"/>
    </row>
    <row r="135" spans="1:15" ht="13.5" customHeight="1" x14ac:dyDescent="0.2">
      <c r="A135" s="673"/>
      <c r="B135" s="673"/>
      <c r="C135" s="755" t="s">
        <v>2283</v>
      </c>
      <c r="D135" s="753"/>
      <c r="E135" s="753"/>
      <c r="F135" s="753"/>
      <c r="G135" s="753"/>
      <c r="H135" s="753"/>
      <c r="I135" s="753"/>
      <c r="J135" s="753"/>
      <c r="K135" s="754"/>
      <c r="L135" s="754"/>
      <c r="M135" s="754"/>
      <c r="N135" s="749"/>
      <c r="O135" s="749"/>
    </row>
    <row r="136" spans="1:15" ht="13.5" customHeight="1" x14ac:dyDescent="0.2">
      <c r="A136" s="673"/>
      <c r="B136" s="673"/>
      <c r="C136" s="753"/>
      <c r="D136" s="753"/>
      <c r="E136" s="753"/>
      <c r="F136" s="753"/>
      <c r="G136" s="753"/>
      <c r="H136" s="753"/>
      <c r="I136" s="753"/>
      <c r="J136" s="753"/>
      <c r="K136" s="754"/>
      <c r="L136" s="754"/>
      <c r="M136" s="754"/>
      <c r="N136" s="749"/>
      <c r="O136" s="749"/>
    </row>
    <row r="137" spans="1:15" ht="13.5" customHeight="1" x14ac:dyDescent="0.2">
      <c r="A137" s="673"/>
      <c r="B137" s="673"/>
      <c r="C137" s="755" t="s">
        <v>2284</v>
      </c>
      <c r="D137" s="753"/>
      <c r="E137" s="753"/>
      <c r="F137" s="753"/>
      <c r="G137" s="753"/>
      <c r="H137" s="753"/>
      <c r="I137" s="753"/>
      <c r="J137" s="753"/>
      <c r="K137" s="754"/>
      <c r="L137" s="754"/>
      <c r="M137" s="754"/>
      <c r="N137" s="749"/>
      <c r="O137" s="749"/>
    </row>
    <row r="138" spans="1:15" ht="13.5" customHeight="1" x14ac:dyDescent="0.2">
      <c r="A138" s="673"/>
      <c r="B138" s="673"/>
      <c r="C138" s="753" t="s">
        <v>2285</v>
      </c>
      <c r="D138" s="753"/>
      <c r="E138" s="753"/>
      <c r="F138" s="753"/>
      <c r="G138" s="753"/>
      <c r="H138" s="753"/>
      <c r="I138" s="753"/>
      <c r="J138" s="753"/>
      <c r="K138" s="754"/>
      <c r="L138" s="754"/>
      <c r="M138" s="754"/>
      <c r="N138" s="749"/>
      <c r="O138" s="749"/>
    </row>
    <row r="139" spans="1:15" ht="13.5" customHeight="1" x14ac:dyDescent="0.2">
      <c r="A139" s="673"/>
      <c r="B139" s="673"/>
      <c r="C139" s="753"/>
      <c r="D139" s="753"/>
      <c r="E139" s="753"/>
      <c r="F139" s="753"/>
      <c r="G139" s="753"/>
      <c r="H139" s="753"/>
      <c r="I139" s="753"/>
      <c r="J139" s="753"/>
      <c r="K139" s="754"/>
      <c r="L139" s="754"/>
      <c r="M139" s="754"/>
      <c r="N139" s="749"/>
      <c r="O139" s="749"/>
    </row>
    <row r="140" spans="1:15" ht="13.5" customHeight="1" x14ac:dyDescent="0.2">
      <c r="A140" s="673"/>
      <c r="B140" s="673"/>
      <c r="C140" s="753"/>
      <c r="D140" s="753"/>
      <c r="E140" s="753"/>
      <c r="F140" s="753"/>
      <c r="G140" s="753"/>
      <c r="H140" s="753"/>
      <c r="I140" s="753"/>
      <c r="J140" s="753"/>
      <c r="K140" s="754"/>
      <c r="L140" s="754"/>
      <c r="M140" s="754"/>
      <c r="N140" s="749"/>
      <c r="O140" s="749"/>
    </row>
    <row r="141" spans="1:15" ht="13.5" customHeight="1" x14ac:dyDescent="0.2">
      <c r="A141" s="673"/>
      <c r="B141" s="673"/>
      <c r="C141" s="674" t="s">
        <v>593</v>
      </c>
      <c r="D141" s="674"/>
      <c r="E141" s="674"/>
      <c r="F141" s="674"/>
      <c r="G141" s="674"/>
      <c r="H141" s="674"/>
      <c r="I141" s="674"/>
      <c r="J141" s="674"/>
      <c r="K141" s="674"/>
      <c r="L141" s="674"/>
      <c r="M141" s="674"/>
      <c r="N141" s="674"/>
      <c r="O141" s="674"/>
    </row>
    <row r="142" spans="1:15" ht="13.5" customHeight="1" x14ac:dyDescent="0.2">
      <c r="A142" s="673"/>
      <c r="B142" s="673"/>
      <c r="C142" s="886"/>
      <c r="D142" s="886"/>
      <c r="E142" s="886"/>
      <c r="F142" s="886"/>
      <c r="G142" s="886"/>
      <c r="H142" s="886"/>
      <c r="I142" s="886"/>
      <c r="J142" s="886"/>
      <c r="K142" s="886"/>
      <c r="L142" s="886"/>
      <c r="M142" s="886"/>
      <c r="N142" s="886"/>
      <c r="O142" s="886"/>
    </row>
    <row r="143" spans="1:15" ht="12.75" customHeight="1" x14ac:dyDescent="0.2">
      <c r="A143" s="673"/>
      <c r="B143" s="673"/>
      <c r="C143" s="911">
        <f>+info1</f>
        <v>0</v>
      </c>
      <c r="D143" s="911"/>
      <c r="E143" s="911"/>
      <c r="F143" s="911"/>
      <c r="G143" s="911"/>
      <c r="H143" s="911"/>
      <c r="I143" s="911"/>
      <c r="J143" s="911"/>
      <c r="K143" s="911"/>
      <c r="L143" s="911"/>
      <c r="M143" s="911"/>
      <c r="N143" s="911"/>
      <c r="O143" s="911"/>
    </row>
    <row r="144" spans="1:15" ht="12.75" customHeight="1" x14ac:dyDescent="0.2">
      <c r="A144" s="673"/>
      <c r="B144" s="673"/>
    </row>
    <row r="145" spans="1:15" ht="12.75" customHeight="1" x14ac:dyDescent="0.2">
      <c r="A145" s="673"/>
      <c r="B145" s="673"/>
    </row>
    <row r="146" spans="1:15" ht="12.75" customHeight="1" x14ac:dyDescent="0.3">
      <c r="A146" s="673"/>
      <c r="B146" s="673"/>
      <c r="C146" s="684"/>
      <c r="D146" s="684"/>
      <c r="E146" s="684"/>
      <c r="F146" s="684"/>
      <c r="G146" s="684"/>
      <c r="H146" s="684"/>
      <c r="I146" s="684"/>
      <c r="J146" s="684"/>
      <c r="K146" s="674"/>
      <c r="L146" s="674"/>
      <c r="M146" s="674"/>
      <c r="N146" s="673"/>
      <c r="O146" s="673"/>
    </row>
    <row r="147" spans="1:15" ht="15" x14ac:dyDescent="0.2">
      <c r="A147" s="673"/>
      <c r="B147" s="673"/>
      <c r="C147" s="673"/>
      <c r="D147" s="673"/>
      <c r="E147" s="673"/>
      <c r="F147" s="673"/>
      <c r="G147" s="673"/>
      <c r="H147" s="673"/>
      <c r="I147" s="673"/>
      <c r="J147" s="673"/>
      <c r="K147" s="673"/>
      <c r="L147" s="673"/>
      <c r="M147" s="673"/>
      <c r="N147" s="673"/>
      <c r="O147" s="673"/>
    </row>
    <row r="148" spans="1:15" ht="15" x14ac:dyDescent="0.2">
      <c r="A148" s="673"/>
      <c r="B148" s="673"/>
      <c r="C148" s="886" t="s">
        <v>481</v>
      </c>
      <c r="D148" s="886"/>
      <c r="E148" s="907" t="str">
        <f>+info10</f>
        <v/>
      </c>
      <c r="F148" s="907"/>
      <c r="G148" s="907"/>
      <c r="H148" s="907"/>
      <c r="I148" s="907"/>
      <c r="J148" s="907"/>
      <c r="K148" s="907"/>
      <c r="L148" s="907"/>
      <c r="M148" s="907"/>
      <c r="N148" s="907"/>
      <c r="O148" s="673"/>
    </row>
    <row r="149" spans="1:15" ht="15" x14ac:dyDescent="0.2">
      <c r="A149" s="673"/>
      <c r="B149" s="673"/>
      <c r="C149" s="673"/>
      <c r="D149" s="673"/>
      <c r="E149" s="907"/>
      <c r="F149" s="907"/>
      <c r="G149" s="907"/>
      <c r="H149" s="907"/>
      <c r="I149" s="907"/>
      <c r="J149" s="907"/>
      <c r="K149" s="907"/>
      <c r="L149" s="907"/>
      <c r="M149" s="907"/>
      <c r="N149" s="907"/>
      <c r="O149" s="673"/>
    </row>
    <row r="150" spans="1:15" ht="15" x14ac:dyDescent="0.2">
      <c r="A150" s="673"/>
      <c r="B150" s="673"/>
      <c r="C150" s="673"/>
      <c r="D150" s="673"/>
      <c r="E150" s="907"/>
      <c r="F150" s="907"/>
      <c r="G150" s="907"/>
      <c r="H150" s="907"/>
      <c r="I150" s="907"/>
      <c r="J150" s="907"/>
      <c r="K150" s="907"/>
      <c r="L150" s="907"/>
      <c r="M150" s="907"/>
      <c r="N150" s="907"/>
      <c r="O150" s="673"/>
    </row>
    <row r="151" spans="1:15" ht="15" x14ac:dyDescent="0.2">
      <c r="A151" s="673"/>
      <c r="B151" s="673"/>
      <c r="C151" s="673"/>
      <c r="D151" s="673"/>
      <c r="E151" s="907"/>
      <c r="F151" s="907"/>
      <c r="G151" s="907"/>
      <c r="H151" s="907"/>
      <c r="I151" s="907"/>
      <c r="J151" s="907"/>
      <c r="K151" s="907"/>
      <c r="L151" s="907"/>
      <c r="M151" s="907"/>
      <c r="N151" s="907"/>
      <c r="O151" s="673"/>
    </row>
    <row r="152" spans="1:15" ht="15" x14ac:dyDescent="0.2">
      <c r="A152" s="673"/>
      <c r="B152" s="673"/>
      <c r="C152" s="674"/>
      <c r="D152" s="674"/>
      <c r="E152" s="907"/>
      <c r="F152" s="907"/>
      <c r="G152" s="907"/>
      <c r="H152" s="907"/>
      <c r="I152" s="907"/>
      <c r="J152" s="907"/>
      <c r="K152" s="907"/>
      <c r="L152" s="907"/>
      <c r="M152" s="907"/>
      <c r="N152" s="907"/>
      <c r="O152" s="674"/>
    </row>
    <row r="153" spans="1:15" ht="15" x14ac:dyDescent="0.2">
      <c r="A153" s="673"/>
      <c r="B153" s="673"/>
      <c r="C153" s="689"/>
      <c r="D153" s="689"/>
      <c r="E153" s="689"/>
      <c r="F153" s="689"/>
      <c r="G153" s="689"/>
      <c r="H153" s="689"/>
      <c r="I153" s="689"/>
      <c r="J153" s="689"/>
      <c r="K153" s="689"/>
      <c r="L153" s="689"/>
      <c r="M153" s="689"/>
      <c r="N153" s="689"/>
      <c r="O153" s="689"/>
    </row>
    <row r="154" spans="1:15" ht="15" x14ac:dyDescent="0.2">
      <c r="A154" s="673"/>
      <c r="B154" s="673"/>
      <c r="C154" s="898" t="str">
        <f>IF(info6&lt;&gt;" ","cc: "&amp;+info6," ")</f>
        <v xml:space="preserve">cc: </v>
      </c>
      <c r="D154" s="898"/>
      <c r="E154" s="898"/>
      <c r="F154" s="898"/>
      <c r="G154" s="898"/>
      <c r="H154" s="898"/>
      <c r="I154" s="898"/>
      <c r="J154" s="898"/>
      <c r="K154" s="898"/>
      <c r="L154" s="898"/>
      <c r="M154" s="898"/>
      <c r="N154" s="898"/>
      <c r="O154" s="898"/>
    </row>
  </sheetData>
  <dataConsolidate/>
  <mergeCells count="142">
    <mergeCell ref="C62:F62"/>
    <mergeCell ref="G62:N62"/>
    <mergeCell ref="C64:F64"/>
    <mergeCell ref="G64:N64"/>
    <mergeCell ref="G65:N65"/>
    <mergeCell ref="L109:M109"/>
    <mergeCell ref="N109:O109"/>
    <mergeCell ref="C77:D77"/>
    <mergeCell ref="F77:M77"/>
    <mergeCell ref="C103:O103"/>
    <mergeCell ref="C87:O87"/>
    <mergeCell ref="C86:O86"/>
    <mergeCell ref="C92:O92"/>
    <mergeCell ref="C93:O93"/>
    <mergeCell ref="C91:O91"/>
    <mergeCell ref="C94:N94"/>
    <mergeCell ref="G69:N69"/>
    <mergeCell ref="G68:N68"/>
    <mergeCell ref="G73:N73"/>
    <mergeCell ref="G70:N70"/>
    <mergeCell ref="C67:F67"/>
    <mergeCell ref="G67:N67"/>
    <mergeCell ref="C90:O90"/>
    <mergeCell ref="C78:O78"/>
    <mergeCell ref="C154:O154"/>
    <mergeCell ref="C95:O95"/>
    <mergeCell ref="C106:O106"/>
    <mergeCell ref="C100:O100"/>
    <mergeCell ref="L110:M110"/>
    <mergeCell ref="N110:O110"/>
    <mergeCell ref="L111:M111"/>
    <mergeCell ref="N111:O111"/>
    <mergeCell ref="C101:O101"/>
    <mergeCell ref="C102:O102"/>
    <mergeCell ref="C148:D148"/>
    <mergeCell ref="C113:J114"/>
    <mergeCell ref="C142:O142"/>
    <mergeCell ref="C143:O143"/>
    <mergeCell ref="C116:O116"/>
    <mergeCell ref="C117:O117"/>
    <mergeCell ref="C118:O118"/>
    <mergeCell ref="C119:O119"/>
    <mergeCell ref="C120:O120"/>
    <mergeCell ref="C121:O121"/>
    <mergeCell ref="C130:O130"/>
    <mergeCell ref="C132:O132"/>
    <mergeCell ref="J33:L33"/>
    <mergeCell ref="C28:F28"/>
    <mergeCell ref="G29:N29"/>
    <mergeCell ref="E148:N152"/>
    <mergeCell ref="C96:N96"/>
    <mergeCell ref="C97:O97"/>
    <mergeCell ref="C98:O98"/>
    <mergeCell ref="C99:O99"/>
    <mergeCell ref="C104:O104"/>
    <mergeCell ref="C105:O105"/>
    <mergeCell ref="L55:M55"/>
    <mergeCell ref="N55:O55"/>
    <mergeCell ref="C32:F32"/>
    <mergeCell ref="G32:I32"/>
    <mergeCell ref="J32:L32"/>
    <mergeCell ref="G38:N38"/>
    <mergeCell ref="C38:F38"/>
    <mergeCell ref="C59:J60"/>
    <mergeCell ref="C35:F35"/>
    <mergeCell ref="G35:N35"/>
    <mergeCell ref="C39:F39"/>
    <mergeCell ref="C50:F50"/>
    <mergeCell ref="G50:N50"/>
    <mergeCell ref="G47:N47"/>
    <mergeCell ref="G27:N27"/>
    <mergeCell ref="K13:M13"/>
    <mergeCell ref="C20:N20"/>
    <mergeCell ref="G26:N26"/>
    <mergeCell ref="C26:F26"/>
    <mergeCell ref="C25:F25"/>
    <mergeCell ref="G45:N45"/>
    <mergeCell ref="G42:N42"/>
    <mergeCell ref="G39:N39"/>
    <mergeCell ref="C42:F42"/>
    <mergeCell ref="G28:N28"/>
    <mergeCell ref="C30:F30"/>
    <mergeCell ref="G30:N30"/>
    <mergeCell ref="C29:F29"/>
    <mergeCell ref="C33:F33"/>
    <mergeCell ref="G33:I33"/>
    <mergeCell ref="G34:N34"/>
    <mergeCell ref="C34:F34"/>
    <mergeCell ref="G37:N37"/>
    <mergeCell ref="C37:F37"/>
    <mergeCell ref="G25:N25"/>
    <mergeCell ref="C27:F27"/>
    <mergeCell ref="G43:N43"/>
    <mergeCell ref="C43:F43"/>
    <mergeCell ref="C6:J7"/>
    <mergeCell ref="C9:F9"/>
    <mergeCell ref="C15:F15"/>
    <mergeCell ref="C14:F14"/>
    <mergeCell ref="C19:N19"/>
    <mergeCell ref="G24:N24"/>
    <mergeCell ref="C24:F24"/>
    <mergeCell ref="K12:M12"/>
    <mergeCell ref="K11:M11"/>
    <mergeCell ref="C16:F16"/>
    <mergeCell ref="C11:F11"/>
    <mergeCell ref="C12:F12"/>
    <mergeCell ref="C13:F13"/>
    <mergeCell ref="C22:N22"/>
    <mergeCell ref="C18:L18"/>
    <mergeCell ref="G46:L46"/>
    <mergeCell ref="G49:N49"/>
    <mergeCell ref="G51:N51"/>
    <mergeCell ref="L56:M56"/>
    <mergeCell ref="N56:O56"/>
    <mergeCell ref="L57:M57"/>
    <mergeCell ref="N57:O57"/>
    <mergeCell ref="C49:F49"/>
    <mergeCell ref="G48:N48"/>
    <mergeCell ref="C89:N89"/>
    <mergeCell ref="G74:N74"/>
    <mergeCell ref="C40:F40"/>
    <mergeCell ref="G40:N40"/>
    <mergeCell ref="L2:M2"/>
    <mergeCell ref="L3:M3"/>
    <mergeCell ref="N2:O2"/>
    <mergeCell ref="N3:O3"/>
    <mergeCell ref="L4:M4"/>
    <mergeCell ref="N4:O4"/>
    <mergeCell ref="C47:F47"/>
    <mergeCell ref="C72:F72"/>
    <mergeCell ref="C68:F68"/>
    <mergeCell ref="C79:N79"/>
    <mergeCell ref="C80:O80"/>
    <mergeCell ref="G75:N75"/>
    <mergeCell ref="G72:N72"/>
    <mergeCell ref="C81:O81"/>
    <mergeCell ref="C85:O85"/>
    <mergeCell ref="C84:O84"/>
    <mergeCell ref="C82:O82"/>
    <mergeCell ref="C83:O83"/>
    <mergeCell ref="C45:F45"/>
    <mergeCell ref="C46:F46"/>
  </mergeCells>
  <phoneticPr fontId="7" type="noConversion"/>
  <conditionalFormatting sqref="E148:N152">
    <cfRule type="cellIs" dxfId="10" priority="3" stopIfTrue="1" operator="equal">
      <formula>0</formula>
    </cfRule>
  </conditionalFormatting>
  <conditionalFormatting sqref="F77:M77">
    <cfRule type="expression" dxfId="9" priority="2" stopIfTrue="1">
      <formula>Base="X"</formula>
    </cfRule>
  </conditionalFormatting>
  <hyperlinks>
    <hyperlink ref="L4" r:id="rId1" xr:uid="{00000000-0004-0000-0A00-000000000000}"/>
    <hyperlink ref="N4" r:id="rId2" display="http://www.yushinamerica.com/" xr:uid="{00000000-0004-0000-0A00-000001000000}"/>
    <hyperlink ref="L57" r:id="rId3" xr:uid="{00000000-0004-0000-0A00-000002000000}"/>
    <hyperlink ref="N57" r:id="rId4" display="http://www.yushinamerica.com/" xr:uid="{00000000-0004-0000-0A00-000003000000}"/>
    <hyperlink ref="L111" r:id="rId5" xr:uid="{00000000-0004-0000-0A00-000004000000}"/>
    <hyperlink ref="N111" r:id="rId6" display="http://www.yushinamerica.com/" xr:uid="{00000000-0004-0000-0A00-000005000000}"/>
  </hyperlinks>
  <pageMargins left="0" right="0" top="0" bottom="0" header="0.5" footer="0.5"/>
  <pageSetup scale="93" fitToHeight="2" orientation="portrait" r:id="rId7"/>
  <headerFooter alignWithMargins="0">
    <oddFooter>&amp;C&amp;"Calibri,Regular"&amp;P of &amp;N</oddFooter>
  </headerFooter>
  <rowBreaks count="2" manualBreakCount="2">
    <brk id="53" max="14" man="1"/>
    <brk id="107" max="14" man="1"/>
  </rowBreaks>
  <ignoredErrors>
    <ignoredError sqref="G29" numberStoredAsText="1"/>
  </ignoredErrors>
  <drawing r:id="rId8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1"/>
  <dimension ref="A2:M26"/>
  <sheetViews>
    <sheetView showRowColHeaders="0" showOutlineSymbols="0" zoomScaleNormal="100" workbookViewId="0">
      <selection activeCell="E3" sqref="E3"/>
    </sheetView>
  </sheetViews>
  <sheetFormatPr defaultRowHeight="14.25" x14ac:dyDescent="0.2"/>
  <cols>
    <col min="1" max="1" width="7.5703125" style="91" customWidth="1"/>
    <col min="2" max="2" width="3.28515625" style="91" customWidth="1"/>
    <col min="3" max="3" width="6.140625" style="91" bestFit="1" customWidth="1"/>
    <col min="4" max="4" width="3.7109375" style="91" customWidth="1"/>
    <col min="5" max="5" width="3.85546875" style="91" bestFit="1" customWidth="1"/>
    <col min="6" max="6" width="8.85546875" style="91" customWidth="1"/>
    <col min="7" max="7" width="3.7109375" style="91" bestFit="1" customWidth="1"/>
    <col min="8" max="8" width="3.7109375" style="91" customWidth="1"/>
    <col min="9" max="9" width="17.42578125" style="91" customWidth="1"/>
    <col min="10" max="10" width="3.42578125" style="91" customWidth="1"/>
    <col min="11" max="11" width="6.28515625" style="91" customWidth="1"/>
    <col min="12" max="12" width="20.28515625" style="91" bestFit="1" customWidth="1"/>
    <col min="13" max="13" width="24.42578125" style="91" bestFit="1" customWidth="1"/>
    <col min="14" max="14" width="13.140625" style="91" bestFit="1" customWidth="1"/>
    <col min="15" max="16384" width="9.140625" style="91"/>
  </cols>
  <sheetData>
    <row r="2" spans="1:13" ht="15" x14ac:dyDescent="0.2">
      <c r="A2" s="99"/>
      <c r="C2" s="92"/>
      <c r="D2" s="92"/>
      <c r="E2" s="92"/>
      <c r="F2" s="92"/>
      <c r="G2" s="92"/>
      <c r="H2" s="92"/>
      <c r="I2" s="92"/>
      <c r="J2" s="92"/>
      <c r="K2" s="92"/>
      <c r="L2" s="634" t="s">
        <v>2057</v>
      </c>
      <c r="M2" s="634" t="s">
        <v>2058</v>
      </c>
    </row>
    <row r="3" spans="1:13" ht="13.15" customHeight="1" x14ac:dyDescent="0.2">
      <c r="C3" s="92"/>
      <c r="D3" s="92"/>
      <c r="E3" s="92"/>
      <c r="F3" s="92"/>
      <c r="G3" s="92"/>
      <c r="H3" s="92"/>
      <c r="I3" s="92"/>
      <c r="J3" s="92"/>
      <c r="K3" s="92"/>
      <c r="L3" s="634" t="s">
        <v>2059</v>
      </c>
      <c r="M3" s="634" t="s">
        <v>2060</v>
      </c>
    </row>
    <row r="4" spans="1:13" ht="13.15" customHeight="1" x14ac:dyDescent="0.2">
      <c r="C4" s="92"/>
      <c r="D4" s="92"/>
      <c r="E4" s="92"/>
      <c r="F4" s="92"/>
      <c r="G4" s="92"/>
      <c r="H4" s="92"/>
      <c r="I4" s="92"/>
      <c r="J4" s="92"/>
      <c r="K4" s="92"/>
      <c r="L4" s="635" t="s">
        <v>2061</v>
      </c>
      <c r="M4" s="635" t="s">
        <v>2062</v>
      </c>
    </row>
    <row r="5" spans="1:13" ht="12.75" customHeight="1" thickBot="1" x14ac:dyDescent="0.25">
      <c r="B5" s="788"/>
      <c r="C5" s="788"/>
      <c r="D5" s="788"/>
      <c r="E5" s="788"/>
      <c r="F5" s="788"/>
      <c r="G5" s="788"/>
      <c r="H5" s="788"/>
      <c r="I5" s="788"/>
      <c r="J5" s="788"/>
      <c r="K5" s="788"/>
      <c r="L5" s="788"/>
      <c r="M5" s="788"/>
    </row>
    <row r="6" spans="1:13" ht="15" thickTop="1" x14ac:dyDescent="0.2">
      <c r="C6" s="819" t="s">
        <v>2104</v>
      </c>
      <c r="D6" s="819"/>
      <c r="E6" s="819"/>
      <c r="F6" s="819"/>
      <c r="G6" s="819"/>
      <c r="H6" s="819"/>
      <c r="I6" s="819"/>
      <c r="J6" s="819"/>
    </row>
    <row r="7" spans="1:13" x14ac:dyDescent="0.2">
      <c r="C7" s="819"/>
      <c r="D7" s="819"/>
      <c r="E7" s="819"/>
      <c r="F7" s="819"/>
      <c r="G7" s="819"/>
      <c r="H7" s="819"/>
      <c r="I7" s="819"/>
      <c r="J7" s="819"/>
    </row>
    <row r="9" spans="1:13" x14ac:dyDescent="0.2">
      <c r="C9" s="91" t="s">
        <v>2105</v>
      </c>
    </row>
    <row r="10" spans="1:13" x14ac:dyDescent="0.2">
      <c r="C10" s="91" t="s">
        <v>2106</v>
      </c>
    </row>
    <row r="11" spans="1:13" x14ac:dyDescent="0.2">
      <c r="C11" s="91" t="s">
        <v>2107</v>
      </c>
    </row>
    <row r="26" spans="3:13" x14ac:dyDescent="0.2">
      <c r="C26" s="92" t="s">
        <v>2092</v>
      </c>
      <c r="D26" s="92"/>
      <c r="E26" s="92"/>
      <c r="F26" s="92"/>
      <c r="G26" s="92"/>
      <c r="H26" s="92"/>
      <c r="I26" s="92"/>
      <c r="J26" s="92"/>
      <c r="K26" s="92" t="s">
        <v>451</v>
      </c>
      <c r="L26" s="92"/>
      <c r="M26" s="92"/>
    </row>
  </sheetData>
  <sheetProtection algorithmName="SHA-512" hashValue="fXNNseLi9u7qboK6n0JL04sWFhvPMy1N4+uNTdjSAiOZ7NgTvRiuolSEE5bngUl3HQyNo+87q+fspJZqEtarvg==" saltValue="IUSNekyncQ1d0Y9qOrvSEw==" spinCount="100000" sheet="1" selectLockedCells="1"/>
  <dataConsolidate/>
  <mergeCells count="1">
    <mergeCell ref="C6:J7"/>
  </mergeCells>
  <hyperlinks>
    <hyperlink ref="L4" r:id="rId1" display="mailto:Salesinfo@yushin.com" xr:uid="{00000000-0004-0000-0B00-000000000000}"/>
    <hyperlink ref="M4" r:id="rId2" display="http://www.yushinamerica.com/" xr:uid="{00000000-0004-0000-0B00-000001000000}"/>
  </hyperlinks>
  <pageMargins left="0.75" right="0.75" top="0.49" bottom="0.5" header="0.5" footer="0.5"/>
  <pageSetup fitToHeight="4" orientation="portrait" r:id="rId3"/>
  <headerFooter alignWithMargins="0">
    <oddFooter>&amp;R&amp;P of &amp;N</oddFooter>
  </headerFooter>
  <drawing r:id="rId4"/>
  <legacyDrawing r:id="rId5"/>
  <controls>
    <mc:AlternateContent xmlns:mc="http://schemas.openxmlformats.org/markup-compatibility/2006">
      <mc:Choice Requires="x14">
        <control shapeId="317451" r:id="rId6" name="CommandButton1">
          <controlPr defaultSize="0" autoLine="0" r:id="rId7">
            <anchor moveWithCells="1">
              <from>
                <xdr:col>12</xdr:col>
                <xdr:colOff>514350</xdr:colOff>
                <xdr:row>25</xdr:row>
                <xdr:rowOff>142875</xdr:rowOff>
              </from>
              <to>
                <xdr:col>12</xdr:col>
                <xdr:colOff>1295400</xdr:colOff>
                <xdr:row>27</xdr:row>
                <xdr:rowOff>142875</xdr:rowOff>
              </to>
            </anchor>
          </controlPr>
        </control>
      </mc:Choice>
      <mc:Fallback>
        <control shapeId="317451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 filterMode="1">
    <tabColor indexed="11"/>
    <pageSetUpPr fitToPage="1"/>
  </sheetPr>
  <dimension ref="A1:J138"/>
  <sheetViews>
    <sheetView zoomScale="85" workbookViewId="0">
      <pane ySplit="7" topLeftCell="A8" activePane="bottomLeft" state="frozen"/>
      <selection activeCell="O48" sqref="O48"/>
      <selection pane="bottomLeft" activeCell="O48" sqref="O48"/>
    </sheetView>
  </sheetViews>
  <sheetFormatPr defaultRowHeight="15" x14ac:dyDescent="0.2"/>
  <cols>
    <col min="1" max="1" width="1.85546875" style="701" customWidth="1"/>
    <col min="2" max="2" width="9.7109375" style="701" customWidth="1"/>
    <col min="3" max="3" width="19.5703125" style="704" bestFit="1" customWidth="1"/>
    <col min="4" max="4" width="13.5703125" style="701" bestFit="1" customWidth="1"/>
    <col min="5" max="5" width="51.7109375" style="701" bestFit="1" customWidth="1"/>
    <col min="6" max="6" width="8.5703125" style="698" bestFit="1" customWidth="1"/>
    <col min="7" max="7" width="16" style="701" bestFit="1" customWidth="1"/>
    <col min="8" max="8" width="36" style="701" bestFit="1" customWidth="1"/>
    <col min="9" max="9" width="14.28515625" style="701" customWidth="1"/>
    <col min="10" max="10" width="10.42578125" style="701" hidden="1" customWidth="1"/>
    <col min="11" max="16384" width="9.140625" style="701"/>
  </cols>
  <sheetData>
    <row r="1" spans="1:10" ht="18" customHeight="1" x14ac:dyDescent="0.25">
      <c r="A1" s="916" t="str">
        <f>"Quote # "&amp;info2</f>
        <v xml:space="preserve">Quote # </v>
      </c>
      <c r="B1" s="917"/>
      <c r="C1" s="917"/>
      <c r="D1" s="917"/>
      <c r="E1" s="698"/>
      <c r="G1" s="699"/>
      <c r="H1" s="699"/>
      <c r="I1" s="700"/>
      <c r="J1" s="805"/>
    </row>
    <row r="2" spans="1:10" ht="16.149999999999999" customHeight="1" x14ac:dyDescent="0.25">
      <c r="A2" s="916" t="str">
        <f>"Customer: "&amp;info4</f>
        <v xml:space="preserve">Customer: </v>
      </c>
      <c r="B2" s="917"/>
      <c r="C2" s="917"/>
      <c r="D2" s="917"/>
      <c r="E2" s="698"/>
      <c r="I2" s="702"/>
    </row>
    <row r="3" spans="1:10" ht="15.6" customHeight="1" x14ac:dyDescent="0.2">
      <c r="A3" s="918" t="str">
        <f>IF(P1Q1="Head",+"GUF-P 2000/"&amp;P0Q2&amp;"/"&amp;p0q1&amp;"-"&amp;P2Q1&amp;"-01",+"GUF-P 2000/"&amp;P0Q2&amp;"/"&amp;p0q1&amp;"-BC-01-01")</f>
        <v>GUF-P 2000/800/3352.8-AC-01</v>
      </c>
      <c r="B3" s="918"/>
      <c r="C3" s="918"/>
      <c r="D3" s="918"/>
      <c r="E3" s="918"/>
      <c r="I3" s="702"/>
    </row>
    <row r="4" spans="1:10" x14ac:dyDescent="0.2">
      <c r="A4" s="703"/>
      <c r="I4" s="702"/>
    </row>
    <row r="5" spans="1:10" s="710" customFormat="1" ht="12.75" x14ac:dyDescent="0.2">
      <c r="A5" s="705" t="s">
        <v>2157</v>
      </c>
      <c r="B5" s="706" t="s">
        <v>937</v>
      </c>
      <c r="C5" s="707" t="s">
        <v>938</v>
      </c>
      <c r="D5" s="706" t="s">
        <v>2158</v>
      </c>
      <c r="E5" s="706" t="s">
        <v>939</v>
      </c>
      <c r="F5" s="708" t="s">
        <v>2159</v>
      </c>
      <c r="G5" s="706" t="s">
        <v>941</v>
      </c>
      <c r="H5" s="706" t="s">
        <v>2160</v>
      </c>
      <c r="I5" s="709" t="s">
        <v>2161</v>
      </c>
      <c r="J5" s="708" t="s">
        <v>2162</v>
      </c>
    </row>
    <row r="6" spans="1:10" s="714" customFormat="1" ht="4.1500000000000004" customHeight="1" x14ac:dyDescent="0.2">
      <c r="A6" s="711"/>
      <c r="B6" s="712"/>
      <c r="C6" s="712"/>
      <c r="D6" s="712"/>
      <c r="E6" s="712"/>
      <c r="F6" s="712"/>
      <c r="G6" s="712"/>
      <c r="H6" s="712"/>
      <c r="I6" s="713"/>
      <c r="J6" s="712"/>
    </row>
    <row r="7" spans="1:10" s="714" customFormat="1" ht="4.1500000000000004" customHeight="1" x14ac:dyDescent="0.2">
      <c r="A7" s="715"/>
      <c r="B7" s="716"/>
      <c r="C7" s="716"/>
      <c r="D7" s="716"/>
      <c r="E7" s="716"/>
      <c r="F7" s="716"/>
      <c r="G7" s="716"/>
      <c r="H7" s="716"/>
      <c r="I7" s="717"/>
      <c r="J7" s="716"/>
    </row>
    <row r="8" spans="1:10" x14ac:dyDescent="0.2">
      <c r="A8" s="703"/>
      <c r="I8" s="702"/>
      <c r="J8" s="718">
        <v>1</v>
      </c>
    </row>
    <row r="9" spans="1:10" ht="15.75" x14ac:dyDescent="0.25">
      <c r="A9" s="719" t="s">
        <v>2163</v>
      </c>
      <c r="C9" s="720"/>
      <c r="E9" s="721"/>
      <c r="F9" s="722"/>
      <c r="I9" s="702"/>
      <c r="J9" s="701">
        <f>IF(SUM($B$11:$B$12)=0,0,1)</f>
        <v>1</v>
      </c>
    </row>
    <row r="10" spans="1:10" x14ac:dyDescent="0.2">
      <c r="A10" s="703"/>
      <c r="I10" s="702"/>
      <c r="J10" s="701">
        <f>IF(SUM($B$11:$B$12)=0,0,1)</f>
        <v>1</v>
      </c>
    </row>
    <row r="11" spans="1:10" x14ac:dyDescent="0.2">
      <c r="A11" s="703"/>
      <c r="B11" s="701">
        <f>IF(P6Q10&lt;&gt;0,1,0)</f>
        <v>1</v>
      </c>
      <c r="C11" s="723" t="str">
        <f>+P6Q10</f>
        <v>460445</v>
      </c>
      <c r="E11" s="701" t="str">
        <f>+quote69</f>
        <v xml:space="preserve">785 mm wide x 6766 mm OAL </v>
      </c>
      <c r="I11" s="724" t="s">
        <v>2164</v>
      </c>
      <c r="J11" s="701">
        <f>IF(B11&lt;&gt;0,1,0)</f>
        <v>1</v>
      </c>
    </row>
    <row r="12" spans="1:10" hidden="1" x14ac:dyDescent="0.2">
      <c r="A12" s="703"/>
      <c r="B12" s="701">
        <f>IF(ISERROR(IF(quote71="SEW",1,0)),0,IF(quote71="SEW",1,0))</f>
        <v>0</v>
      </c>
      <c r="C12" s="723" t="str">
        <f>IF(quote71="SEW",+quote18," ")</f>
        <v xml:space="preserve"> </v>
      </c>
      <c r="E12" s="701" t="s">
        <v>2165</v>
      </c>
      <c r="H12" s="725" t="str">
        <f>quote44&amp;" HP, "&amp;quote45&amp;" RPM, "&amp;quote46&amp;" IN-LBS"</f>
        <v>0.25 HP, 84 RPM, 106 IN-LBS</v>
      </c>
      <c r="I12" s="724" t="s">
        <v>984</v>
      </c>
      <c r="J12" s="701">
        <f>IF(B12&lt;&gt;0,1,0)</f>
        <v>0</v>
      </c>
    </row>
    <row r="13" spans="1:10" x14ac:dyDescent="0.2">
      <c r="A13" s="703"/>
      <c r="I13" s="702"/>
      <c r="J13" s="701">
        <f>IF(SUM($B$11:$B$12)=0,0,1)</f>
        <v>1</v>
      </c>
    </row>
    <row r="14" spans="1:10" ht="15.75" x14ac:dyDescent="0.25">
      <c r="A14" s="719" t="s">
        <v>2166</v>
      </c>
      <c r="C14" s="726"/>
      <c r="E14" s="727"/>
      <c r="F14" s="722"/>
      <c r="I14" s="702"/>
      <c r="J14" s="701">
        <f>IF(SUM($B$16:$B$25)=0,0,1)</f>
        <v>1</v>
      </c>
    </row>
    <row r="15" spans="1:10" x14ac:dyDescent="0.2">
      <c r="A15" s="703"/>
      <c r="I15" s="702"/>
      <c r="J15" s="701">
        <f>IF(SUM($B$16:$B$25)=0,0,1)</f>
        <v>1</v>
      </c>
    </row>
    <row r="16" spans="1:10" ht="15.75" hidden="1" x14ac:dyDescent="0.25">
      <c r="A16" s="703"/>
      <c r="B16" s="701">
        <f>IF(C16&lt;&gt;" ",+Stands!E47,0)</f>
        <v>6</v>
      </c>
      <c r="C16" s="723" t="str">
        <f>+Stands!D67</f>
        <v>5401AA</v>
      </c>
      <c r="E16" s="701" t="s">
        <v>2167</v>
      </c>
      <c r="I16" s="728" t="s">
        <v>479</v>
      </c>
      <c r="J16" s="701">
        <f t="shared" ref="J16:J25" si="0">IF(B16&lt;&gt;0,1,0)</f>
        <v>1</v>
      </c>
    </row>
    <row r="17" spans="1:10" ht="15.75" hidden="1" x14ac:dyDescent="0.25">
      <c r="A17" s="703"/>
      <c r="B17" s="701">
        <f>+Stands!F83</f>
        <v>0</v>
      </c>
      <c r="C17" s="723" t="str">
        <f>+Stands!I83</f>
        <v>5100AM</v>
      </c>
      <c r="E17" s="701" t="s">
        <v>2167</v>
      </c>
      <c r="I17" s="728" t="s">
        <v>479</v>
      </c>
      <c r="J17" s="701">
        <f t="shared" si="0"/>
        <v>0</v>
      </c>
    </row>
    <row r="18" spans="1:10" ht="15.75" hidden="1" x14ac:dyDescent="0.25">
      <c r="A18" s="703"/>
      <c r="B18" s="701">
        <f>+Stands!F85</f>
        <v>0</v>
      </c>
      <c r="C18" s="723" t="str">
        <f>+Stands!I85</f>
        <v>5133BB</v>
      </c>
      <c r="E18" s="701" t="s">
        <v>2167</v>
      </c>
      <c r="I18" s="728" t="s">
        <v>479</v>
      </c>
      <c r="J18" s="701">
        <f t="shared" si="0"/>
        <v>0</v>
      </c>
    </row>
    <row r="19" spans="1:10" ht="15.75" hidden="1" x14ac:dyDescent="0.25">
      <c r="A19" s="703"/>
      <c r="B19" s="701">
        <f>+Stands!F86</f>
        <v>0</v>
      </c>
      <c r="C19" s="723" t="str">
        <f>+Stands!I86</f>
        <v>5133BB</v>
      </c>
      <c r="E19" s="701" t="s">
        <v>2167</v>
      </c>
      <c r="I19" s="728" t="s">
        <v>479</v>
      </c>
      <c r="J19" s="701">
        <f t="shared" si="0"/>
        <v>0</v>
      </c>
    </row>
    <row r="20" spans="1:10" ht="15.75" x14ac:dyDescent="0.25">
      <c r="A20" s="703"/>
      <c r="B20" s="729">
        <f>IF(quote8="SF1.3",0,IF(P0Q2&gt;600,0,1))</f>
        <v>0</v>
      </c>
      <c r="C20" s="723">
        <f>IF(P0Q14="Stainless",+BOM!AD201,+BOM!AD228)</f>
        <v>0</v>
      </c>
      <c r="E20" s="701" t="e">
        <f>VLOOKUP(C20,PartsRange,2,FALSE)</f>
        <v>#N/A</v>
      </c>
      <c r="F20" s="804">
        <f>+BOM_01</f>
        <v>3262.8</v>
      </c>
      <c r="I20" s="728" t="s">
        <v>479</v>
      </c>
      <c r="J20" s="701">
        <f t="shared" si="0"/>
        <v>0</v>
      </c>
    </row>
    <row r="21" spans="1:10" ht="15.75" hidden="1" x14ac:dyDescent="0.25">
      <c r="A21" s="703"/>
      <c r="B21" s="701">
        <f>+quote105</f>
        <v>0</v>
      </c>
      <c r="C21" s="723" t="s">
        <v>2168</v>
      </c>
      <c r="E21" s="701" t="s">
        <v>2169</v>
      </c>
      <c r="I21" s="728" t="s">
        <v>479</v>
      </c>
      <c r="J21" s="701">
        <f t="shared" si="0"/>
        <v>0</v>
      </c>
    </row>
    <row r="22" spans="1:10" ht="15.75" x14ac:dyDescent="0.25">
      <c r="A22" s="703"/>
      <c r="B22" s="701">
        <f>+quote106</f>
        <v>1</v>
      </c>
      <c r="C22" s="723" t="s">
        <v>1895</v>
      </c>
      <c r="E22" s="701" t="str">
        <f>+quote76a&amp;" in. bore, 3/16 broach"</f>
        <v>0.625 in. bore, 3/16 broach</v>
      </c>
      <c r="I22" s="728" t="s">
        <v>479</v>
      </c>
      <c r="J22" s="701">
        <f t="shared" si="0"/>
        <v>1</v>
      </c>
    </row>
    <row r="23" spans="1:10" ht="15.75" hidden="1" x14ac:dyDescent="0.25">
      <c r="A23" s="703"/>
      <c r="B23" s="743">
        <v>0</v>
      </c>
      <c r="C23" s="723" t="s">
        <v>2170</v>
      </c>
      <c r="E23" s="701" t="s">
        <v>2171</v>
      </c>
      <c r="I23" s="728" t="s">
        <v>2172</v>
      </c>
      <c r="J23" s="701">
        <f t="shared" si="0"/>
        <v>0</v>
      </c>
    </row>
    <row r="24" spans="1:10" ht="15.75" hidden="1" x14ac:dyDescent="0.25">
      <c r="A24" s="703"/>
      <c r="B24" s="729">
        <f>IF(quote8="SF1.3",1,0)</f>
        <v>0</v>
      </c>
      <c r="C24" s="723" t="s">
        <v>529</v>
      </c>
      <c r="E24" s="701" t="str">
        <f>"BB "&amp;+P0Q2&amp;" with "&amp;+P7Q2&amp;" mm Tall Rails"</f>
        <v>BB 800 with  mm Tall Rails</v>
      </c>
      <c r="I24" s="728" t="s">
        <v>2172</v>
      </c>
      <c r="J24" s="701">
        <f>IF(B24&lt;&gt;0,1,0)</f>
        <v>0</v>
      </c>
    </row>
    <row r="25" spans="1:10" ht="15.75" hidden="1" x14ac:dyDescent="0.25">
      <c r="A25" s="703"/>
      <c r="B25" s="729">
        <f>IF(quote8="SF7.1",2,0)</f>
        <v>0</v>
      </c>
      <c r="C25" s="723" t="s">
        <v>1164</v>
      </c>
      <c r="E25" s="701" t="s">
        <v>2221</v>
      </c>
      <c r="I25" s="728" t="s">
        <v>479</v>
      </c>
      <c r="J25" s="701">
        <f t="shared" si="0"/>
        <v>0</v>
      </c>
    </row>
    <row r="26" spans="1:10" x14ac:dyDescent="0.2">
      <c r="A26" s="703"/>
      <c r="I26" s="702"/>
      <c r="J26" s="718">
        <v>1</v>
      </c>
    </row>
    <row r="27" spans="1:10" ht="15.75" x14ac:dyDescent="0.25">
      <c r="A27" s="730" t="s">
        <v>2173</v>
      </c>
      <c r="C27" s="720"/>
      <c r="E27" s="721"/>
      <c r="F27" s="722"/>
      <c r="I27" s="702"/>
      <c r="J27" s="718">
        <v>1</v>
      </c>
    </row>
    <row r="28" spans="1:10" x14ac:dyDescent="0.2">
      <c r="A28" s="703"/>
      <c r="I28" s="702"/>
      <c r="J28" s="718">
        <v>1</v>
      </c>
    </row>
    <row r="29" spans="1:10" ht="15.75" x14ac:dyDescent="0.25">
      <c r="A29" s="703"/>
      <c r="B29" s="914" t="s">
        <v>2174</v>
      </c>
      <c r="C29" s="915"/>
      <c r="D29" s="731"/>
      <c r="E29" s="731"/>
      <c r="F29" s="731"/>
      <c r="G29" s="731"/>
      <c r="H29" s="731"/>
      <c r="I29" s="732"/>
      <c r="J29" s="701">
        <f>IF(SUM($B$30:$B$32)=0,0,1)</f>
        <v>1</v>
      </c>
    </row>
    <row r="30" spans="1:10" x14ac:dyDescent="0.2">
      <c r="A30" s="703"/>
      <c r="B30" s="701">
        <f>IF(C30&lt;&gt;" ",1,0)</f>
        <v>1</v>
      </c>
      <c r="C30" s="701" t="str">
        <f>+BOM!AD27</f>
        <v>1B.AC8</v>
      </c>
      <c r="E30" s="701" t="str">
        <f>VLOOKUP(C30,PartsRange,2,FALSE)</f>
        <v>DRIVE, GUF-P 2000 AC</v>
      </c>
      <c r="F30" s="729"/>
      <c r="G30" s="698"/>
      <c r="I30" s="702"/>
      <c r="J30" s="701">
        <f>IF(B30&lt;&gt;0,1,0)</f>
        <v>1</v>
      </c>
    </row>
    <row r="31" spans="1:10" x14ac:dyDescent="0.2">
      <c r="A31" s="703"/>
      <c r="B31" s="701">
        <f>IF(C31&lt;&gt;0,1,0)</f>
        <v>0</v>
      </c>
      <c r="C31" s="701">
        <f>+BOM!AD28</f>
        <v>0</v>
      </c>
      <c r="E31" s="701" t="e">
        <f>VLOOKUP(C31,PartsRange,2,FALSE)</f>
        <v>#N/A</v>
      </c>
      <c r="F31" s="729"/>
      <c r="G31" s="698"/>
      <c r="I31" s="702"/>
      <c r="J31" s="701">
        <f>IF(B31&lt;&gt;0,1,0)</f>
        <v>0</v>
      </c>
    </row>
    <row r="32" spans="1:10" x14ac:dyDescent="0.2">
      <c r="A32" s="703"/>
      <c r="B32" s="701">
        <f>IF(C32&lt;&gt;" ",1,0)</f>
        <v>1</v>
      </c>
      <c r="C32" s="701" t="str">
        <f>+BOM!AD56</f>
        <v>B91.14.350.0800</v>
      </c>
      <c r="E32" s="701" t="str">
        <f>VLOOKUP(C32,PartsRange,2,FALSE)</f>
        <v>GUF-P 2000 DRIVE/800</v>
      </c>
      <c r="F32" s="729"/>
      <c r="G32" s="698"/>
      <c r="I32" s="702"/>
      <c r="J32" s="701">
        <f>IF(B32&lt;&gt;0,1,0)</f>
        <v>1</v>
      </c>
    </row>
    <row r="33" spans="1:10" x14ac:dyDescent="0.2">
      <c r="A33" s="703"/>
      <c r="I33" s="702"/>
      <c r="J33" s="701">
        <f>IF(SUM($B$30:$B$32)=0,0,1)</f>
        <v>1</v>
      </c>
    </row>
    <row r="34" spans="1:10" ht="15.75" x14ac:dyDescent="0.25">
      <c r="A34" s="703"/>
      <c r="B34" s="914" t="s">
        <v>609</v>
      </c>
      <c r="C34" s="915"/>
      <c r="D34" s="731"/>
      <c r="E34" s="731"/>
      <c r="F34" s="731"/>
      <c r="G34" s="731"/>
      <c r="H34" s="731"/>
      <c r="I34" s="732"/>
      <c r="J34" s="701">
        <f>IF(SUM($B$35:$B$36)=0,0,1)</f>
        <v>1</v>
      </c>
    </row>
    <row r="35" spans="1:10" x14ac:dyDescent="0.2">
      <c r="A35" s="703"/>
      <c r="B35" s="701">
        <f>IF(C35&lt;&gt;" ",1,0)</f>
        <v>1</v>
      </c>
      <c r="C35" s="701" t="str">
        <f>+BOM!AD98</f>
        <v>2B.01C</v>
      </c>
      <c r="E35" s="701" t="str">
        <f>VLOOKUP(C35,PartsRange,2,FALSE)</f>
        <v>GUF-P 2000 TAIL 01 LONG</v>
      </c>
      <c r="F35" s="729"/>
      <c r="G35" s="698"/>
      <c r="I35" s="702"/>
      <c r="J35" s="701">
        <f>IF(B35&lt;&gt;0,1,0)</f>
        <v>1</v>
      </c>
    </row>
    <row r="36" spans="1:10" x14ac:dyDescent="0.2">
      <c r="A36" s="703"/>
      <c r="B36" s="701">
        <f>IF(C36&lt;&gt;" ",1,0)</f>
        <v>1</v>
      </c>
      <c r="C36" s="701" t="str">
        <f>+BOM!AD113</f>
        <v>B91.54.352.0800</v>
      </c>
      <c r="E36" s="701" t="str">
        <f>VLOOKUP(C36,PartsRange,2,FALSE)</f>
        <v>GUF-P 2000 TAIL 01/800 DRUM</v>
      </c>
      <c r="F36" s="729"/>
      <c r="G36" s="698"/>
      <c r="I36" s="702"/>
      <c r="J36" s="701">
        <f>IF(B36&lt;&gt;0,1,0)</f>
        <v>1</v>
      </c>
    </row>
    <row r="37" spans="1:10" x14ac:dyDescent="0.2">
      <c r="A37" s="703"/>
      <c r="I37" s="702"/>
      <c r="J37" s="701">
        <f>IF(SUM($B$35:$B$36)=0,0,1)</f>
        <v>1</v>
      </c>
    </row>
    <row r="38" spans="1:10" ht="15.75" x14ac:dyDescent="0.25">
      <c r="A38" s="703"/>
      <c r="B38" s="914" t="s">
        <v>610</v>
      </c>
      <c r="C38" s="915"/>
      <c r="D38" s="731"/>
      <c r="E38" s="731"/>
      <c r="F38" s="731"/>
      <c r="G38" s="731"/>
      <c r="H38" s="731"/>
      <c r="I38" s="732"/>
      <c r="J38" s="701">
        <f>IF(SUM($B$39:$B$40)=0,0,1)</f>
        <v>0</v>
      </c>
    </row>
    <row r="39" spans="1:10" x14ac:dyDescent="0.2">
      <c r="A39" s="703"/>
      <c r="B39" s="701">
        <f>IF(C39&lt;&gt;" ",1,0)</f>
        <v>0</v>
      </c>
      <c r="C39" s="701" t="str">
        <f>+BOM!AD131</f>
        <v xml:space="preserve"> </v>
      </c>
      <c r="E39" s="701" t="e">
        <f>VLOOKUP(C39,PartsRange,2,FALSE)</f>
        <v>#N/A</v>
      </c>
      <c r="F39" s="729"/>
      <c r="G39" s="698"/>
      <c r="I39" s="702"/>
      <c r="J39" s="701">
        <f>IF(B39&lt;&gt;0,1,0)</f>
        <v>0</v>
      </c>
    </row>
    <row r="40" spans="1:10" x14ac:dyDescent="0.2">
      <c r="A40" s="703"/>
      <c r="B40" s="701">
        <f>IF(C40&lt;&gt;" ",1,0)</f>
        <v>0</v>
      </c>
      <c r="C40" s="701" t="str">
        <f>+BOM!AD146</f>
        <v xml:space="preserve"> </v>
      </c>
      <c r="E40" s="701" t="e">
        <f>VLOOKUP(C40,PartsRange,2,FALSE)</f>
        <v>#N/A</v>
      </c>
      <c r="F40" s="729"/>
      <c r="G40" s="698"/>
      <c r="I40" s="702"/>
      <c r="J40" s="701">
        <f>IF(B40&lt;&gt;0,1,0)</f>
        <v>0</v>
      </c>
    </row>
    <row r="41" spans="1:10" x14ac:dyDescent="0.2">
      <c r="A41" s="703"/>
      <c r="I41" s="702"/>
      <c r="J41" s="701">
        <f>IF(SUM($B$39:$B$40)=0,0,1)</f>
        <v>0</v>
      </c>
    </row>
    <row r="42" spans="1:10" ht="15.75" x14ac:dyDescent="0.25">
      <c r="A42" s="703"/>
      <c r="B42" s="914" t="s">
        <v>1116</v>
      </c>
      <c r="C42" s="915"/>
      <c r="D42" s="731"/>
      <c r="E42" s="731"/>
      <c r="F42" s="731"/>
      <c r="G42" s="731"/>
      <c r="H42" s="731"/>
      <c r="I42" s="732"/>
      <c r="J42" s="701">
        <f>IF(SUM($B$43:$B$46)=0,0,1)</f>
        <v>1</v>
      </c>
    </row>
    <row r="43" spans="1:10" x14ac:dyDescent="0.2">
      <c r="A43" s="703"/>
      <c r="B43" s="701">
        <f>+BOM!AD164</f>
        <v>2</v>
      </c>
      <c r="C43" s="699" t="str">
        <f>+BOM!AD163</f>
        <v>51.14.</v>
      </c>
      <c r="E43" s="701" t="str">
        <f>VLOOKUP(C43,PartsRange,2,FALSE)</f>
        <v>PROFILE MK 2000 LIGHT</v>
      </c>
      <c r="F43" s="733">
        <f>+BOM!AD165</f>
        <v>3232.8</v>
      </c>
      <c r="G43" s="698"/>
      <c r="I43" s="702"/>
      <c r="J43" s="701">
        <f>IF(B43&lt;&gt;0,1,0)</f>
        <v>1</v>
      </c>
    </row>
    <row r="44" spans="1:10" hidden="1" x14ac:dyDescent="0.2">
      <c r="A44" s="703"/>
      <c r="B44" s="701">
        <f>+BOM!AD168</f>
        <v>0</v>
      </c>
      <c r="C44" s="701" t="str">
        <f>+BOM!AD167</f>
        <v>51.14.</v>
      </c>
      <c r="E44" s="701" t="str">
        <f>VLOOKUP(C44,PartsRange,2,FALSE)</f>
        <v>PROFILE MK 2000 LIGHT</v>
      </c>
      <c r="F44" s="733">
        <f>+BOM!AD169</f>
        <v>0</v>
      </c>
      <c r="G44" s="698"/>
      <c r="I44" s="702"/>
      <c r="J44" s="701">
        <f>IF(B44&lt;&gt;0,1,0)</f>
        <v>0</v>
      </c>
    </row>
    <row r="45" spans="1:10" x14ac:dyDescent="0.2">
      <c r="A45" s="703"/>
      <c r="B45" s="701">
        <f>+BOM!AD174</f>
        <v>5</v>
      </c>
      <c r="C45" s="701" t="str">
        <f>+BOM!AD173</f>
        <v>51.14.</v>
      </c>
      <c r="E45" s="701" t="str">
        <f>VLOOKUP(C45,PartsRange,2,FALSE)</f>
        <v>PROFILE MK 2000 LIGHT</v>
      </c>
      <c r="F45" s="733">
        <f>+BOM!AD175</f>
        <v>700</v>
      </c>
      <c r="G45" s="698"/>
      <c r="I45" s="702"/>
      <c r="J45" s="701">
        <f>IF(B45&lt;&gt;0,1,0)</f>
        <v>1</v>
      </c>
    </row>
    <row r="46" spans="1:10" x14ac:dyDescent="0.2">
      <c r="A46" s="703"/>
      <c r="B46" s="701">
        <f>+BOM!AD178</f>
        <v>10</v>
      </c>
      <c r="C46" s="701" t="str">
        <f>+BOM!AD177</f>
        <v>82.40.0741</v>
      </c>
      <c r="E46" s="701" t="str">
        <f>VLOOKUP(C46,PartsRange,2,FALSE)</f>
        <v>ANGLE E25S*</v>
      </c>
      <c r="H46" s="735"/>
      <c r="I46" s="702"/>
      <c r="J46" s="701">
        <f>IF(B46&lt;&gt;0,1,0)</f>
        <v>1</v>
      </c>
    </row>
    <row r="47" spans="1:10" x14ac:dyDescent="0.2">
      <c r="A47" s="703"/>
      <c r="I47" s="702"/>
      <c r="J47" s="701">
        <f>IF(SUM($B$43:$B$46)=0,0,1)</f>
        <v>1</v>
      </c>
    </row>
    <row r="48" spans="1:10" ht="15.75" x14ac:dyDescent="0.25">
      <c r="A48" s="703"/>
      <c r="B48" s="914" t="s">
        <v>2175</v>
      </c>
      <c r="C48" s="915"/>
      <c r="D48" s="731"/>
      <c r="E48" s="731"/>
      <c r="F48" s="731"/>
      <c r="G48" s="731"/>
      <c r="H48" s="731"/>
      <c r="I48" s="732"/>
      <c r="J48" s="701">
        <f>IF(SUM($B$49:$B$49)=0,0,1)</f>
        <v>0</v>
      </c>
    </row>
    <row r="49" spans="1:10" x14ac:dyDescent="0.2">
      <c r="A49" s="703"/>
      <c r="B49" s="701">
        <f>+BOM!AD181</f>
        <v>0</v>
      </c>
      <c r="C49" s="699" t="str">
        <f>+BOM!AD180</f>
        <v xml:space="preserve"> </v>
      </c>
      <c r="E49" s="701" t="e">
        <f>VLOOKUP(C49,PartsRange,2,FALSE)</f>
        <v>#N/A</v>
      </c>
      <c r="F49" s="729"/>
      <c r="G49" s="698"/>
      <c r="I49" s="702"/>
      <c r="J49" s="701">
        <f>IF(B49&lt;&gt;0,1,0)</f>
        <v>0</v>
      </c>
    </row>
    <row r="50" spans="1:10" x14ac:dyDescent="0.2">
      <c r="A50" s="703"/>
      <c r="I50" s="702"/>
      <c r="J50" s="701">
        <f>IF(SUM($B$49:$B$49)=0,0,1)</f>
        <v>0</v>
      </c>
    </row>
    <row r="51" spans="1:10" ht="15.75" x14ac:dyDescent="0.25">
      <c r="A51" s="703"/>
      <c r="B51" s="914" t="s">
        <v>940</v>
      </c>
      <c r="C51" s="915"/>
      <c r="D51" s="731"/>
      <c r="E51" s="731"/>
      <c r="F51" s="731"/>
      <c r="G51" s="731"/>
      <c r="H51" s="731"/>
      <c r="I51" s="732"/>
      <c r="J51" s="701">
        <f>IF(SUM($B$52:$B$54)=0,0,1)</f>
        <v>1</v>
      </c>
    </row>
    <row r="52" spans="1:10" x14ac:dyDescent="0.2">
      <c r="A52" s="703"/>
      <c r="B52" s="736">
        <f>IF(quote8="SF1.3",0,IF(P0Q2&gt;600,0,+BOM!AD190))</f>
        <v>0</v>
      </c>
      <c r="C52" s="699" t="str">
        <f>IF(P0Q14="Stainless",+BOM!AD189,+BOM!AD216)</f>
        <v>P57.03.800</v>
      </c>
      <c r="E52" s="701" t="e">
        <f>VLOOKUP(C52,PartsRange,2,FALSE)</f>
        <v>#N/A</v>
      </c>
      <c r="H52" s="734" t="str">
        <f>"Overall length "&amp;+BOM_01&amp;" mm"</f>
        <v>Overall length 3262.8 mm</v>
      </c>
      <c r="I52" s="702"/>
      <c r="J52" s="701">
        <f>IF(B52&lt;&gt;0,1,0)</f>
        <v>0</v>
      </c>
    </row>
    <row r="53" spans="1:10" hidden="1" x14ac:dyDescent="0.2">
      <c r="A53" s="703"/>
      <c r="B53" s="698">
        <f>IF(quote8="SF1.3",0,IF(P0Q2&gt;600,+quote111/3,0))</f>
        <v>1</v>
      </c>
      <c r="C53" s="701" t="str">
        <f>IF(P0Q14="Stainless","P57.01.000","P57.03.000")</f>
        <v>P57.03.000</v>
      </c>
      <c r="E53" s="701" t="str">
        <f>VLOOKUP(C53,PartsRange,2,FALSE)</f>
        <v>GALVANIZED STEEL SHEET, 48" X 96"</v>
      </c>
      <c r="H53" s="734" t="str">
        <f>P0Q2-1&amp;" x "&amp;BOM_01&amp;" mm OAL"</f>
        <v>799 x 3262.8 mm OAL</v>
      </c>
      <c r="I53" s="702"/>
      <c r="J53" s="701">
        <f>IF(B53&lt;&gt;0,1,0)</f>
        <v>1</v>
      </c>
    </row>
    <row r="54" spans="1:10" hidden="1" x14ac:dyDescent="0.2">
      <c r="A54" s="703"/>
      <c r="B54" s="698">
        <f>IF(quote8="SF1.3",IF(P0Q2&gt;600,+quote113,0),0)</f>
        <v>0</v>
      </c>
      <c r="C54" s="701" t="str">
        <f>IF(P0Q14="Stainless","P57.01.000","P57.03.000")</f>
        <v>P57.03.000</v>
      </c>
      <c r="D54" s="723" t="s">
        <v>529</v>
      </c>
      <c r="E54" s="701" t="str">
        <f>VLOOKUP(C54,PartsRange,2,FALSE)</f>
        <v>GALVANIZED STEEL SHEET, 48" X 96"</v>
      </c>
      <c r="H54" s="734" t="str">
        <f>quote112&amp;" x "&amp;BOM_01&amp;" mm OAL"</f>
        <v>800 x 3262.8 mm OAL</v>
      </c>
      <c r="I54" s="702"/>
      <c r="J54" s="701">
        <f>IF(B54&lt;&gt;0,1,0)</f>
        <v>0</v>
      </c>
    </row>
    <row r="55" spans="1:10" hidden="1" x14ac:dyDescent="0.2">
      <c r="A55" s="703"/>
      <c r="B55" s="698">
        <f>IF(quote8="SF1.3",IF(P0Q2&lt;=600,+quote113,0),0)</f>
        <v>0</v>
      </c>
      <c r="C55" s="701" t="str">
        <f>IF(P0Q14="Stainless","P57.01.000","P57.03.000")</f>
        <v>P57.03.000</v>
      </c>
      <c r="D55" s="723" t="s">
        <v>529</v>
      </c>
      <c r="E55" s="701" t="str">
        <f>VLOOKUP(C55,PartsRange,2,FALSE)</f>
        <v>GALVANIZED STEEL SHEET, 48" X 96"</v>
      </c>
      <c r="H55" s="734" t="str">
        <f>quote112&amp;" x "&amp;BOM_01&amp;" mm OAL"</f>
        <v>800 x 3262.8 mm OAL</v>
      </c>
      <c r="I55" s="702"/>
      <c r="J55" s="701">
        <f>IF(B55&lt;&gt;0,1,0)</f>
        <v>0</v>
      </c>
    </row>
    <row r="56" spans="1:10" x14ac:dyDescent="0.2">
      <c r="A56" s="703"/>
      <c r="I56" s="702"/>
      <c r="J56" s="701">
        <f>IF(SUM($B$52:$B$55)=0,0,1)</f>
        <v>1</v>
      </c>
    </row>
    <row r="57" spans="1:10" ht="15.75" x14ac:dyDescent="0.25">
      <c r="A57" s="703"/>
      <c r="B57" s="914" t="s">
        <v>755</v>
      </c>
      <c r="C57" s="915"/>
      <c r="D57" s="731"/>
      <c r="E57" s="731"/>
      <c r="F57" s="731"/>
      <c r="G57" s="731"/>
      <c r="H57" s="731"/>
      <c r="I57" s="732"/>
      <c r="J57" s="701">
        <f>IF(SUM($B$58:$B$58)=0,0,1)</f>
        <v>1</v>
      </c>
    </row>
    <row r="58" spans="1:10" x14ac:dyDescent="0.2">
      <c r="A58" s="703"/>
      <c r="B58" s="701">
        <f>+BOM!AD242</f>
        <v>1</v>
      </c>
      <c r="C58" s="701" t="str">
        <f>+BOM!AD241</f>
        <v>B60.03.005.0800</v>
      </c>
      <c r="E58" s="701" t="str">
        <f>VLOOKUP(C58,PartsRange,2,FALSE)</f>
        <v>GUF-P 2000/800 SUPPORT ROLL</v>
      </c>
      <c r="F58" s="729"/>
      <c r="G58" s="698"/>
      <c r="I58" s="702"/>
      <c r="J58" s="701">
        <f>IF(B58&lt;&gt;0,1,0)</f>
        <v>1</v>
      </c>
    </row>
    <row r="59" spans="1:10" x14ac:dyDescent="0.2">
      <c r="A59" s="703"/>
      <c r="I59" s="702"/>
      <c r="J59" s="701">
        <f>IF(SUM($B$58:$B$58)=0,0,1)</f>
        <v>1</v>
      </c>
    </row>
    <row r="60" spans="1:10" ht="15.75" x14ac:dyDescent="0.25">
      <c r="A60" s="703"/>
      <c r="B60" s="914" t="s">
        <v>658</v>
      </c>
      <c r="C60" s="915"/>
      <c r="D60" s="731"/>
      <c r="E60" s="731"/>
      <c r="F60" s="731"/>
      <c r="G60" s="731"/>
      <c r="H60" s="731"/>
      <c r="I60" s="732"/>
      <c r="J60" s="701">
        <f>IF(SUM($B$61:$B$64)=0,0,1)</f>
        <v>1</v>
      </c>
    </row>
    <row r="61" spans="1:10" x14ac:dyDescent="0.2">
      <c r="A61" s="703"/>
      <c r="B61" s="701">
        <f>IF(ISERROR(IF(quote54&lt;&gt;0,1,0)),0,IF(quote54&lt;&gt;0,1,0))</f>
        <v>1</v>
      </c>
      <c r="C61" s="701" t="str">
        <f>+quote54</f>
        <v>P31.05.007</v>
      </c>
      <c r="E61" s="701" t="str">
        <f>VLOOKUP(C61,PartsRange,2,FALSE)</f>
        <v>BODINE MOTOR #1060</v>
      </c>
      <c r="F61" s="729"/>
      <c r="G61" s="698"/>
      <c r="H61" s="725" t="str">
        <f>quote44&amp;" HP, "&amp;quote45&amp;" RPM, "&amp;quote46&amp;" IN-LBS"</f>
        <v>0.25 HP, 84 RPM, 106 IN-LBS</v>
      </c>
      <c r="I61" s="702"/>
      <c r="J61" s="701">
        <f>IF(B61&lt;&gt;0,1,0)</f>
        <v>1</v>
      </c>
    </row>
    <row r="62" spans="1:10" x14ac:dyDescent="0.2">
      <c r="A62" s="703"/>
      <c r="B62" s="701">
        <f>IF(ISERROR(IF(quote48&lt;&gt;0,1,0)),0,IF(quote48&lt;&gt;0,1,0))</f>
        <v>1</v>
      </c>
      <c r="C62" s="701" t="str">
        <f>+quote48</f>
        <v>P50.10.001</v>
      </c>
      <c r="E62" s="701" t="str">
        <f>VLOOKUP(C62,PartsRange,2,FALSE)</f>
        <v>MOTOR ADAPTER PLATE</v>
      </c>
      <c r="I62" s="702"/>
      <c r="J62" s="701">
        <f>IF(B62&lt;&gt;0,1,0)</f>
        <v>1</v>
      </c>
    </row>
    <row r="63" spans="1:10" hidden="1" x14ac:dyDescent="0.2">
      <c r="A63" s="703"/>
      <c r="B63" s="701">
        <f>IF(ISERROR(IF(quote49&lt;&gt;0,1,0)),0,IF(quote49&lt;&gt;0,1,0))</f>
        <v>0</v>
      </c>
      <c r="C63" s="701">
        <f>+quote49</f>
        <v>0</v>
      </c>
      <c r="E63" s="701" t="e">
        <f>VLOOKUP(C63,PartsRange,2,FALSE)</f>
        <v>#N/A</v>
      </c>
      <c r="I63" s="702"/>
      <c r="J63" s="701">
        <f>IF(B63&lt;&gt;0,1,0)</f>
        <v>0</v>
      </c>
    </row>
    <row r="64" spans="1:10" hidden="1" x14ac:dyDescent="0.2">
      <c r="A64" s="703"/>
      <c r="B64" s="701">
        <f>IF(ISERROR(IF(quote50&lt;&gt;0,1,0)),0,IF(quote50&lt;&gt;0,1,0))</f>
        <v>0</v>
      </c>
      <c r="C64" s="701">
        <f>+quote50</f>
        <v>0</v>
      </c>
      <c r="E64" s="701" t="e">
        <f>VLOOKUP(C64,PartsRange,2,FALSE)</f>
        <v>#N/A</v>
      </c>
      <c r="I64" s="702"/>
      <c r="J64" s="701">
        <f>IF(B64&lt;&gt;0,1,0)</f>
        <v>0</v>
      </c>
    </row>
    <row r="65" spans="1:10" x14ac:dyDescent="0.2">
      <c r="A65" s="703"/>
      <c r="I65" s="702"/>
      <c r="J65" s="701">
        <f>IF(SUM($B$61:$B$64)=0,0,1)</f>
        <v>1</v>
      </c>
    </row>
    <row r="66" spans="1:10" ht="15.75" x14ac:dyDescent="0.25">
      <c r="A66" s="703"/>
      <c r="B66" s="914" t="s">
        <v>449</v>
      </c>
      <c r="C66" s="915"/>
      <c r="D66" s="731"/>
      <c r="E66" s="731"/>
      <c r="F66" s="731"/>
      <c r="G66" s="731"/>
      <c r="H66" s="731"/>
      <c r="I66" s="732"/>
      <c r="J66" s="701">
        <f>IF(SUM($B$67:$B$70)=0,0,1)</f>
        <v>1</v>
      </c>
    </row>
    <row r="67" spans="1:10" ht="15.75" x14ac:dyDescent="0.25">
      <c r="A67" s="703"/>
      <c r="B67" s="701">
        <f>IF(quote26&lt;&gt;0,1,0)</f>
        <v>1</v>
      </c>
      <c r="C67" s="701" t="str">
        <f>+quote26</f>
        <v>P31.10.147</v>
      </c>
      <c r="E67" s="701" t="str">
        <f>VLOOKUP(C67,PartsRange,2,FALSE)</f>
        <v>BODINE CONTROL #791</v>
      </c>
      <c r="F67" s="729"/>
      <c r="G67" s="698"/>
      <c r="H67" s="731"/>
      <c r="I67" s="702"/>
      <c r="J67" s="701">
        <f>IF(B67&lt;&gt;0,1,0)</f>
        <v>1</v>
      </c>
    </row>
    <row r="68" spans="1:10" x14ac:dyDescent="0.2">
      <c r="A68" s="703"/>
      <c r="B68" s="701">
        <f>IF(quote26&lt;&gt;0,1,0)</f>
        <v>1</v>
      </c>
      <c r="C68" s="701" t="s">
        <v>1782</v>
      </c>
      <c r="E68" s="701" t="str">
        <f>VLOOKUP(C68,PartsRange,2,FALSE)</f>
        <v>1/4" NYLON CORD GRIP</v>
      </c>
      <c r="I68" s="702"/>
      <c r="J68" s="701">
        <f>IF(B68&lt;&gt;0,1,0)</f>
        <v>1</v>
      </c>
    </row>
    <row r="69" spans="1:10" hidden="1" x14ac:dyDescent="0.2">
      <c r="A69" s="703"/>
      <c r="B69" s="701">
        <f>IF(ISERROR(IF(quote82&lt;&gt;0,1,0)),0,IF(quote82&lt;&gt;0,1,0))</f>
        <v>0</v>
      </c>
      <c r="C69" s="701">
        <f>+quote82</f>
        <v>0</v>
      </c>
      <c r="E69" s="701" t="e">
        <f>VLOOKUP(C69,PartsRange,2,FALSE)</f>
        <v>#N/A</v>
      </c>
      <c r="I69" s="702"/>
      <c r="J69" s="701">
        <f>IF(B69&lt;&gt;0,1,0)</f>
        <v>0</v>
      </c>
    </row>
    <row r="70" spans="1:10" hidden="1" x14ac:dyDescent="0.2">
      <c r="A70" s="703"/>
      <c r="B70" s="701">
        <f>IF(ISERROR(IF(quote83&lt;&gt;0,1,0)),0,IF(quote83&lt;&gt;0,1,0))</f>
        <v>0</v>
      </c>
      <c r="C70" s="701">
        <f>+quote83</f>
        <v>0</v>
      </c>
      <c r="E70" s="701" t="e">
        <f>VLOOKUP(C70,PartsRange,2,FALSE)</f>
        <v>#N/A</v>
      </c>
      <c r="I70" s="702"/>
      <c r="J70" s="701">
        <f>IF(B70&lt;&gt;0,1,0)</f>
        <v>0</v>
      </c>
    </row>
    <row r="71" spans="1:10" x14ac:dyDescent="0.2">
      <c r="A71" s="703"/>
      <c r="I71" s="702"/>
      <c r="J71" s="701">
        <f>IF(SUM($B$67:$B$70)=0,0,1)</f>
        <v>1</v>
      </c>
    </row>
    <row r="72" spans="1:10" ht="15.75" x14ac:dyDescent="0.25">
      <c r="A72" s="703"/>
      <c r="B72" s="914" t="s">
        <v>696</v>
      </c>
      <c r="C72" s="915"/>
      <c r="D72" s="731"/>
      <c r="E72" s="731"/>
      <c r="F72" s="731"/>
      <c r="G72" s="731"/>
      <c r="H72" s="731"/>
      <c r="I72" s="732"/>
      <c r="J72" s="701">
        <f>IF(SUM($B$73:$B$76)=0,0,1)</f>
        <v>1</v>
      </c>
    </row>
    <row r="73" spans="1:10" x14ac:dyDescent="0.2">
      <c r="A73" s="703"/>
      <c r="B73" s="701">
        <f>IF(C73=0,0,1)</f>
        <v>1</v>
      </c>
      <c r="C73" s="701" t="str">
        <f>+SprocketM</f>
        <v>P58.35.016</v>
      </c>
      <c r="D73" s="724" t="str">
        <f>IF(quote106=1,"B&amp;B"," ")</f>
        <v>B&amp;B</v>
      </c>
      <c r="E73" s="701" t="str">
        <f>VLOOKUP(C73,PartsRange,2,FALSE)</f>
        <v>35B16 SPROCKET, 3/8P</v>
      </c>
      <c r="F73" s="729"/>
      <c r="G73" s="698" t="s">
        <v>2176</v>
      </c>
      <c r="H73" s="725" t="str">
        <f>"Motor Shaft Dia: "&amp;+quote76&amp;+" mm"</f>
        <v>Motor Shaft Dia: 15.875 mm</v>
      </c>
      <c r="I73" s="702"/>
      <c r="J73" s="701">
        <f>IF(B73&lt;&gt;0,1,0)</f>
        <v>1</v>
      </c>
    </row>
    <row r="74" spans="1:10" x14ac:dyDescent="0.2">
      <c r="A74" s="703"/>
      <c r="B74" s="701">
        <f>IF(C74=0,0,1)</f>
        <v>1</v>
      </c>
      <c r="C74" s="701" t="str">
        <f>+SprocketD</f>
        <v>P58.35.012.016</v>
      </c>
      <c r="E74" s="701" t="str">
        <f>VLOOKUP(C74,PartsRange,2,FALSE)</f>
        <v>SPROCKET, 3/8P, 12T, 16MM</v>
      </c>
      <c r="F74" s="729"/>
      <c r="G74" s="698" t="s">
        <v>2177</v>
      </c>
      <c r="H74" s="737"/>
      <c r="I74" s="702"/>
      <c r="J74" s="701">
        <f>IF(B74&lt;&gt;0,1,0)</f>
        <v>1</v>
      </c>
    </row>
    <row r="75" spans="1:10" hidden="1" x14ac:dyDescent="0.2">
      <c r="A75" s="703"/>
      <c r="B75" s="701">
        <f>IF(P2Q1="AM",1,0)</f>
        <v>0</v>
      </c>
      <c r="C75" s="701" t="s">
        <v>438</v>
      </c>
      <c r="E75" s="701" t="str">
        <f>VLOOKUP(C75,PartsRange,2,FALSE)</f>
        <v>06B-1 CHAIN</v>
      </c>
      <c r="F75" s="734">
        <v>1250</v>
      </c>
      <c r="G75" s="698"/>
      <c r="H75" s="737"/>
      <c r="I75" s="702"/>
      <c r="J75" s="701">
        <f>IF(B75&lt;&gt;0,1,0)</f>
        <v>0</v>
      </c>
    </row>
    <row r="76" spans="1:10" hidden="1" x14ac:dyDescent="0.2">
      <c r="A76" s="703"/>
      <c r="B76" s="701">
        <f>IF(P2Q1="AM",1,0)</f>
        <v>0</v>
      </c>
      <c r="C76" s="701" t="s">
        <v>440</v>
      </c>
      <c r="E76" s="701" t="str">
        <f>VLOOKUP(C76,PartsRange,2,FALSE)</f>
        <v>06B-1 CONNECTING LINK</v>
      </c>
      <c r="F76" s="729"/>
      <c r="G76" s="698"/>
      <c r="H76" s="737"/>
      <c r="I76" s="702"/>
      <c r="J76" s="701">
        <f>IF(B76&lt;&gt;0,1,0)</f>
        <v>0</v>
      </c>
    </row>
    <row r="77" spans="1:10" x14ac:dyDescent="0.2">
      <c r="A77" s="703"/>
      <c r="I77" s="702"/>
      <c r="J77" s="701">
        <f>IF(SUM($B$73:$B$76)=0,0,1)</f>
        <v>1</v>
      </c>
    </row>
    <row r="78" spans="1:10" ht="15.75" hidden="1" x14ac:dyDescent="0.25">
      <c r="A78" s="703"/>
      <c r="B78" s="922" t="s">
        <v>2178</v>
      </c>
      <c r="C78" s="923"/>
      <c r="D78" s="731"/>
      <c r="E78" s="731"/>
      <c r="F78" s="731"/>
      <c r="G78" s="731"/>
      <c r="H78" s="731"/>
      <c r="I78" s="732"/>
      <c r="J78" s="701">
        <f>IF(SUM($B$79:$B$90)=0,0,1)</f>
        <v>1</v>
      </c>
    </row>
    <row r="79" spans="1:10" hidden="1" x14ac:dyDescent="0.2">
      <c r="A79" s="703"/>
      <c r="B79" s="701">
        <f>+Rails!A78</f>
        <v>0</v>
      </c>
      <c r="C79" s="701" t="str">
        <f>+Rails!B78</f>
        <v xml:space="preserve"> </v>
      </c>
      <c r="E79" s="701" t="e">
        <f t="shared" ref="E79:E90" si="1">VLOOKUP(C79,PartsRange,2,FALSE)</f>
        <v>#N/A</v>
      </c>
      <c r="F79" s="729"/>
      <c r="G79" s="698"/>
      <c r="I79" s="702"/>
      <c r="J79" s="701">
        <f>IF(B79&lt;&gt;0,1,0)</f>
        <v>0</v>
      </c>
    </row>
    <row r="80" spans="1:10" hidden="1" x14ac:dyDescent="0.2">
      <c r="A80" s="703"/>
      <c r="B80" s="701">
        <f>+Rails!A79</f>
        <v>0</v>
      </c>
      <c r="C80" s="701" t="str">
        <f>+Rails!B79</f>
        <v xml:space="preserve"> </v>
      </c>
      <c r="E80" s="701" t="e">
        <f t="shared" si="1"/>
        <v>#N/A</v>
      </c>
      <c r="F80" s="734">
        <f>+Rails!C79</f>
        <v>3352.8</v>
      </c>
      <c r="G80" s="698"/>
      <c r="I80" s="702"/>
      <c r="J80" s="701">
        <f>IF(B80&lt;&gt;0,1,0)</f>
        <v>0</v>
      </c>
    </row>
    <row r="81" spans="1:10" hidden="1" x14ac:dyDescent="0.2">
      <c r="A81" s="703"/>
      <c r="B81" s="701">
        <f>+Rails!A80</f>
        <v>0</v>
      </c>
      <c r="C81" s="701" t="str">
        <f>+Rails!B80</f>
        <v xml:space="preserve"> </v>
      </c>
      <c r="E81" s="701" t="e">
        <f t="shared" si="1"/>
        <v>#N/A</v>
      </c>
      <c r="F81" s="729"/>
      <c r="G81" s="698"/>
      <c r="I81" s="702"/>
      <c r="J81" s="701">
        <f>IF(B81&lt;&gt;0,1,0)</f>
        <v>0</v>
      </c>
    </row>
    <row r="82" spans="1:10" hidden="1" x14ac:dyDescent="0.2">
      <c r="A82" s="703"/>
      <c r="B82" s="701">
        <f>+Rails!A81</f>
        <v>0</v>
      </c>
      <c r="C82" s="701" t="str">
        <f>+Rails!B81</f>
        <v xml:space="preserve"> </v>
      </c>
      <c r="D82" s="723" t="s">
        <v>1164</v>
      </c>
      <c r="E82" s="701" t="e">
        <f t="shared" si="1"/>
        <v>#N/A</v>
      </c>
      <c r="F82" s="734">
        <f>+Rails!C81</f>
        <v>3352.8</v>
      </c>
      <c r="G82" s="698"/>
      <c r="H82" s="725" t="str">
        <f>+Rails!I81</f>
        <v>Cutout L1= 0 mm, L2= 0 mm</v>
      </c>
      <c r="I82" s="702"/>
      <c r="J82" s="701">
        <f>IF(B82&lt;&gt;0,1,0)</f>
        <v>0</v>
      </c>
    </row>
    <row r="83" spans="1:10" hidden="1" x14ac:dyDescent="0.2">
      <c r="A83" s="703"/>
      <c r="B83" s="701">
        <f>+Rails!A82</f>
        <v>0</v>
      </c>
      <c r="C83" s="701" t="str">
        <f>+Rails!B82</f>
        <v xml:space="preserve"> </v>
      </c>
      <c r="D83" s="723" t="s">
        <v>1164</v>
      </c>
      <c r="E83" s="701" t="e">
        <f t="shared" si="1"/>
        <v>#N/A</v>
      </c>
      <c r="F83" s="734">
        <f>+Rails!C82</f>
        <v>3352.8</v>
      </c>
      <c r="G83" s="698"/>
      <c r="H83" s="725" t="str">
        <f>+Rails!I82</f>
        <v>Cutout L1= 0 mm, L2= 0 mm</v>
      </c>
      <c r="I83" s="702"/>
      <c r="J83" s="701">
        <f>IF(B83&lt;&gt;0,1,0)</f>
        <v>0</v>
      </c>
    </row>
    <row r="84" spans="1:10" hidden="1" x14ac:dyDescent="0.2">
      <c r="A84" s="703"/>
      <c r="B84" s="701">
        <f>+Rails!A84</f>
        <v>0</v>
      </c>
      <c r="C84" s="701" t="str">
        <f>+Rails!B84</f>
        <v>52.38.</v>
      </c>
      <c r="E84" s="701" t="str">
        <f t="shared" si="1"/>
        <v>PROFILE MK 2238*</v>
      </c>
      <c r="F84" s="734">
        <f>+Rails!C84</f>
        <v>6100</v>
      </c>
      <c r="G84" s="698"/>
      <c r="I84" s="702"/>
      <c r="J84" s="701">
        <f t="shared" ref="J84:J90" si="2">IF(B84&lt;&gt;0,1,0)</f>
        <v>0</v>
      </c>
    </row>
    <row r="85" spans="1:10" hidden="1" x14ac:dyDescent="0.2">
      <c r="A85" s="703"/>
      <c r="B85" s="701">
        <f>+Rails!A83</f>
        <v>2</v>
      </c>
      <c r="C85" s="701" t="str">
        <f>+Rails!B83</f>
        <v>52.38.</v>
      </c>
      <c r="E85" s="701" t="str">
        <f t="shared" si="1"/>
        <v>PROFILE MK 2238*</v>
      </c>
      <c r="F85" s="734">
        <f>+Rails!C83</f>
        <v>3348.8</v>
      </c>
      <c r="G85" s="698"/>
      <c r="H85" s="725" t="str">
        <f>+Rails!I83</f>
        <v xml:space="preserve"> </v>
      </c>
      <c r="I85" s="702"/>
      <c r="J85" s="701">
        <f>IF(B85&lt;&gt;0,1,0)</f>
        <v>1</v>
      </c>
    </row>
    <row r="86" spans="1:10" hidden="1" x14ac:dyDescent="0.2">
      <c r="A86" s="703"/>
      <c r="B86" s="701">
        <f>+Rails!A85</f>
        <v>2</v>
      </c>
      <c r="C86" s="701" t="str">
        <f>+Rails!B85</f>
        <v>22.31.2000</v>
      </c>
      <c r="E86" s="701" t="str">
        <f t="shared" si="1"/>
        <v>WEAR STRIP 1031</v>
      </c>
      <c r="F86" s="734">
        <f>+Rails!C85</f>
        <v>3348.8</v>
      </c>
      <c r="G86" s="698"/>
      <c r="H86" s="725" t="str">
        <f>+Rails!I85</f>
        <v>Require 2 at 3352.8 mm OAL</v>
      </c>
      <c r="I86" s="702"/>
      <c r="J86" s="701">
        <f t="shared" si="2"/>
        <v>1</v>
      </c>
    </row>
    <row r="87" spans="1:10" hidden="1" x14ac:dyDescent="0.2">
      <c r="A87" s="703"/>
      <c r="B87" s="701">
        <f>+Rails!A86</f>
        <v>6</v>
      </c>
      <c r="C87" s="701" t="str">
        <f>+Rails!B86</f>
        <v>7000DB0150</v>
      </c>
      <c r="E87" s="701" t="str">
        <f t="shared" si="1"/>
        <v>OFFSET ROD, SS</v>
      </c>
      <c r="F87" s="729"/>
      <c r="G87" s="698"/>
      <c r="I87" s="702"/>
      <c r="J87" s="701">
        <f t="shared" si="2"/>
        <v>1</v>
      </c>
    </row>
    <row r="88" spans="1:10" hidden="1" x14ac:dyDescent="0.2">
      <c r="A88" s="703"/>
      <c r="B88" s="701">
        <f>+Rails!A87</f>
        <v>12</v>
      </c>
      <c r="C88" s="701" t="str">
        <f>+Rails!B87</f>
        <v>30.00.0001</v>
      </c>
      <c r="E88" s="701" t="str">
        <f t="shared" si="1"/>
        <v>CLAMP 1*</v>
      </c>
      <c r="F88" s="729"/>
      <c r="G88" s="698"/>
      <c r="I88" s="702"/>
      <c r="J88" s="701">
        <f t="shared" si="2"/>
        <v>1</v>
      </c>
    </row>
    <row r="89" spans="1:10" hidden="1" x14ac:dyDescent="0.2">
      <c r="A89" s="703"/>
      <c r="B89" s="701">
        <f>+Rails!A88</f>
        <v>4</v>
      </c>
      <c r="C89" s="701" t="str">
        <f>+Rails!B88</f>
        <v>07.09.0035</v>
      </c>
      <c r="E89" s="701" t="str">
        <f t="shared" ref="E89" si="3">VLOOKUP(C89,PartsRange,2,FALSE)</f>
        <v>END CAP FOR RAIL 23 &amp; 24</v>
      </c>
      <c r="F89" s="729"/>
      <c r="G89" s="698"/>
      <c r="I89" s="702"/>
      <c r="J89" s="701">
        <f t="shared" ref="J89" si="4">IF(B89&lt;&gt;0,1,0)</f>
        <v>1</v>
      </c>
    </row>
    <row r="90" spans="1:10" hidden="1" x14ac:dyDescent="0.2">
      <c r="A90" s="703"/>
      <c r="B90" s="701">
        <f>+Rails!A89</f>
        <v>0</v>
      </c>
      <c r="C90" s="701" t="str">
        <f>+Rails!B89</f>
        <v>B46.07.047</v>
      </c>
      <c r="E90" s="701" t="str">
        <f t="shared" si="1"/>
        <v>PROFILE EXTENSION ASSY.</v>
      </c>
      <c r="F90" s="729"/>
      <c r="G90" s="698"/>
      <c r="I90" s="702"/>
      <c r="J90" s="701">
        <f t="shared" si="2"/>
        <v>0</v>
      </c>
    </row>
    <row r="91" spans="1:10" hidden="1" x14ac:dyDescent="0.2">
      <c r="A91" s="703"/>
      <c r="I91" s="702"/>
      <c r="J91" s="701">
        <f>IF(SUM($B$79:$B$90)=0,0,1)</f>
        <v>1</v>
      </c>
    </row>
    <row r="92" spans="1:10" ht="15.75" hidden="1" x14ac:dyDescent="0.25">
      <c r="A92" s="703"/>
      <c r="B92" s="922" t="s">
        <v>584</v>
      </c>
      <c r="C92" s="923"/>
      <c r="D92" s="731"/>
      <c r="E92" s="731"/>
      <c r="F92" s="731"/>
      <c r="G92" s="731"/>
      <c r="H92" s="731"/>
      <c r="I92" s="732"/>
      <c r="J92" s="701">
        <f>IF(SUM($B$93:$B$137)=0,0,1)</f>
        <v>1</v>
      </c>
    </row>
    <row r="93" spans="1:10" ht="15.75" hidden="1" x14ac:dyDescent="0.25">
      <c r="A93" s="730"/>
      <c r="B93" s="701">
        <f>+Stands!A67</f>
        <v>6</v>
      </c>
      <c r="C93" s="701" t="str">
        <f>+Stands!B67</f>
        <v>54.01.</v>
      </c>
      <c r="D93" s="724" t="str">
        <f>Stands!D67</f>
        <v>5401AA</v>
      </c>
      <c r="E93" s="701" t="str">
        <f t="shared" ref="E93:E127" si="5">VLOOKUP(C93,PartsRange,2,FALSE)</f>
        <v>PROFILE mk 2040.01</v>
      </c>
      <c r="F93" s="734">
        <f>IF(ISERROR(+Stands!C67),0,+Stands!C67)</f>
        <v>1025.4000000000001</v>
      </c>
      <c r="H93" s="725" t="str">
        <f>+Stands!G67</f>
        <v>Requires Service</v>
      </c>
      <c r="I93" s="702"/>
      <c r="J93" s="701">
        <f t="shared" ref="J93:J104" si="6">IF(B93&lt;&gt;0,1,0)</f>
        <v>1</v>
      </c>
    </row>
    <row r="94" spans="1:10" ht="15.75" hidden="1" x14ac:dyDescent="0.25">
      <c r="A94" s="730"/>
      <c r="B94" s="701">
        <f>+Stands!A68</f>
        <v>6</v>
      </c>
      <c r="C94" s="701" t="str">
        <f>+Stands!B68</f>
        <v>54.40.</v>
      </c>
      <c r="E94" s="701" t="str">
        <f t="shared" si="5"/>
        <v>PROFILE MK 2040.40</v>
      </c>
      <c r="F94" s="734">
        <f>IF(ISERROR(+Stands!C68),0,+Stands!C68)</f>
        <v>800</v>
      </c>
      <c r="I94" s="702"/>
      <c r="J94" s="701">
        <f t="shared" si="6"/>
        <v>1</v>
      </c>
    </row>
    <row r="95" spans="1:10" ht="15.75" hidden="1" x14ac:dyDescent="0.25">
      <c r="A95" s="730"/>
      <c r="B95" s="701">
        <f>IF(P10q10="Yes",0,+Stands!A69)</f>
        <v>0</v>
      </c>
      <c r="C95" s="701" t="str">
        <f>+Stands!B69</f>
        <v>76.01.0008</v>
      </c>
      <c r="E95" s="701" t="str">
        <f t="shared" si="5"/>
        <v>END CAP REWORK</v>
      </c>
      <c r="I95" s="702"/>
      <c r="J95" s="701">
        <f t="shared" si="6"/>
        <v>0</v>
      </c>
    </row>
    <row r="96" spans="1:10" ht="15.75" hidden="1" x14ac:dyDescent="0.25">
      <c r="A96" s="730"/>
      <c r="B96" s="701">
        <f>+Stands!A70</f>
        <v>6</v>
      </c>
      <c r="C96" s="701" t="str">
        <f>+Stands!B70</f>
        <v>K106000142</v>
      </c>
      <c r="E96" s="701" t="str">
        <f t="shared" si="5"/>
        <v>100MM LOCKING CASTER, H=133</v>
      </c>
      <c r="I96" s="702"/>
      <c r="J96" s="701">
        <f t="shared" si="6"/>
        <v>1</v>
      </c>
    </row>
    <row r="97" spans="1:10" ht="15.75" hidden="1" x14ac:dyDescent="0.25">
      <c r="A97" s="730"/>
      <c r="B97" s="701">
        <f>IF(P10q10="Yes",+Stands!A70,0)</f>
        <v>6</v>
      </c>
      <c r="C97" s="701" t="s">
        <v>2222</v>
      </c>
      <c r="E97" s="701" t="str">
        <f>VLOOKUP(C97,PartsRange,2,FALSE)</f>
        <v>M12x30 HEX HEAD SCREW</v>
      </c>
      <c r="I97" s="702"/>
      <c r="J97" s="701">
        <f>IF(B97&lt;&gt;0,1,0)</f>
        <v>1</v>
      </c>
    </row>
    <row r="98" spans="1:10" ht="15.75" hidden="1" x14ac:dyDescent="0.25">
      <c r="A98" s="730"/>
      <c r="B98" s="701">
        <f>IF(P10q10="Yes",+Stands!A70,0)</f>
        <v>6</v>
      </c>
      <c r="C98" s="701" t="s">
        <v>2223</v>
      </c>
      <c r="E98" s="701" t="str">
        <f>VLOOKUP(C98,PartsRange,2,FALSE)</f>
        <v>12MM RIB WASHER</v>
      </c>
      <c r="I98" s="702"/>
      <c r="J98" s="701">
        <f>IF(B98&lt;&gt;0,1,0)</f>
        <v>1</v>
      </c>
    </row>
    <row r="99" spans="1:10" ht="15.75" hidden="1" x14ac:dyDescent="0.25">
      <c r="A99" s="730"/>
      <c r="B99" s="701">
        <f>+Stands!A71</f>
        <v>12</v>
      </c>
      <c r="C99" s="701" t="str">
        <f>+Stands!B71</f>
        <v>82.40.0702</v>
      </c>
      <c r="E99" s="701" t="str">
        <f t="shared" si="5"/>
        <v>ANGLE E40*</v>
      </c>
      <c r="I99" s="702"/>
      <c r="J99" s="701">
        <f t="shared" si="6"/>
        <v>1</v>
      </c>
    </row>
    <row r="100" spans="1:10" hidden="1" x14ac:dyDescent="0.2">
      <c r="A100" s="703"/>
      <c r="B100" s="701">
        <f>+Stands!F68</f>
        <v>0</v>
      </c>
      <c r="C100" s="701" t="str">
        <f>+Stands!B68</f>
        <v>54.40.</v>
      </c>
      <c r="E100" s="701" t="str">
        <f t="shared" si="5"/>
        <v>PROFILE MK 2040.40</v>
      </c>
      <c r="I100" s="702"/>
      <c r="J100" s="718">
        <v>0</v>
      </c>
    </row>
    <row r="101" spans="1:10" hidden="1" x14ac:dyDescent="0.2">
      <c r="A101" s="703"/>
      <c r="B101" s="701">
        <f>+Stands!F71</f>
        <v>0</v>
      </c>
      <c r="C101" s="701" t="str">
        <f>+Stands!B71</f>
        <v>82.40.0702</v>
      </c>
      <c r="E101" s="701" t="str">
        <f t="shared" si="5"/>
        <v>ANGLE E40*</v>
      </c>
      <c r="I101" s="702"/>
      <c r="J101" s="718">
        <v>0</v>
      </c>
    </row>
    <row r="102" spans="1:10" ht="15.75" hidden="1" x14ac:dyDescent="0.25">
      <c r="A102" s="730"/>
      <c r="B102" s="701">
        <f>+Stands!A72</f>
        <v>12</v>
      </c>
      <c r="C102" s="701" t="str">
        <f>+Stands!B72</f>
        <v>82.40.0741</v>
      </c>
      <c r="E102" s="701" t="str">
        <f t="shared" si="5"/>
        <v>ANGLE E25S*</v>
      </c>
      <c r="I102" s="702"/>
      <c r="J102" s="701">
        <f t="shared" si="6"/>
        <v>1</v>
      </c>
    </row>
    <row r="103" spans="1:10" ht="15.75" hidden="1" x14ac:dyDescent="0.25">
      <c r="A103" s="730"/>
      <c r="B103" s="701">
        <f>+Stands!A73</f>
        <v>6</v>
      </c>
      <c r="C103" s="701" t="str">
        <f>+Stands!B73</f>
        <v>MK 2507</v>
      </c>
      <c r="E103" s="701" t="str">
        <f>VLOOKUP(C103,PartsRange,2,FALSE)</f>
        <v>END CAP 40X40</v>
      </c>
      <c r="I103" s="702"/>
      <c r="J103" s="701">
        <f>IF(B103&lt;&gt;0,1,0)</f>
        <v>1</v>
      </c>
    </row>
    <row r="104" spans="1:10" ht="15.75" hidden="1" x14ac:dyDescent="0.25">
      <c r="A104" s="730"/>
      <c r="B104" s="701">
        <f>+Stands!F83</f>
        <v>0</v>
      </c>
      <c r="C104" s="701" t="str">
        <f>+Stands!B73</f>
        <v>MK 2507</v>
      </c>
      <c r="E104" s="701" t="str">
        <f t="shared" si="5"/>
        <v>END CAP 40X40</v>
      </c>
      <c r="I104" s="702"/>
      <c r="J104" s="701">
        <f t="shared" si="6"/>
        <v>0</v>
      </c>
    </row>
    <row r="105" spans="1:10" ht="15.75" hidden="1" x14ac:dyDescent="0.25">
      <c r="A105" s="730"/>
      <c r="B105" s="701">
        <f>+Stands!F83</f>
        <v>0</v>
      </c>
      <c r="C105" s="701" t="e">
        <f>+Stands!G83</f>
        <v>#N/A</v>
      </c>
      <c r="D105" s="724" t="str">
        <f>+Stands!I83</f>
        <v>5100AM</v>
      </c>
      <c r="E105" s="701" t="e">
        <f t="shared" si="5"/>
        <v>#N/A</v>
      </c>
      <c r="H105" s="725" t="s">
        <v>2179</v>
      </c>
      <c r="I105" s="702"/>
      <c r="J105" s="701">
        <f>IF(B105&lt;&gt;0,1,0)</f>
        <v>0</v>
      </c>
    </row>
    <row r="106" spans="1:10" ht="15.75" hidden="1" x14ac:dyDescent="0.25">
      <c r="A106" s="730"/>
      <c r="B106" s="701">
        <f>+Stands!F84</f>
        <v>0</v>
      </c>
      <c r="C106" s="701" t="str">
        <f>+Stands!G84</f>
        <v>51.00.</v>
      </c>
      <c r="E106" s="701" t="str">
        <f t="shared" si="5"/>
        <v>PROFILE MK 2000</v>
      </c>
      <c r="F106" s="734">
        <f>IF(ISERROR(+Stands!H103),0,+Stands!H103)</f>
        <v>0</v>
      </c>
      <c r="I106" s="702"/>
      <c r="J106" s="701">
        <f>IF(B106&lt;&gt;0,1,0)</f>
        <v>0</v>
      </c>
    </row>
    <row r="107" spans="1:10" ht="15.75" hidden="1" x14ac:dyDescent="0.25">
      <c r="A107" s="730"/>
      <c r="B107" s="701">
        <f>+Stands!F85</f>
        <v>0</v>
      </c>
      <c r="C107" s="701" t="e">
        <f>+Stands!G85</f>
        <v>#N/A</v>
      </c>
      <c r="D107" s="724" t="str">
        <f>+Stands!I85</f>
        <v>5133BB</v>
      </c>
      <c r="E107" s="701" t="e">
        <f t="shared" si="5"/>
        <v>#N/A</v>
      </c>
      <c r="H107" s="725" t="s">
        <v>2179</v>
      </c>
      <c r="I107" s="702"/>
      <c r="J107" s="701">
        <f t="shared" ref="J107:J123" si="7">IF(B107&lt;&gt;0,1,0)</f>
        <v>0</v>
      </c>
    </row>
    <row r="108" spans="1:10" ht="15.75" hidden="1" x14ac:dyDescent="0.25">
      <c r="A108" s="730"/>
      <c r="B108" s="701">
        <f>+Stands!F86</f>
        <v>0</v>
      </c>
      <c r="C108" s="701" t="e">
        <f>+Stands!G86</f>
        <v>#N/A</v>
      </c>
      <c r="D108" s="724" t="str">
        <f>+Stands!I86</f>
        <v>5133BB</v>
      </c>
      <c r="E108" s="701" t="e">
        <f t="shared" si="5"/>
        <v>#N/A</v>
      </c>
      <c r="H108" s="725" t="s">
        <v>2179</v>
      </c>
      <c r="I108" s="702"/>
      <c r="J108" s="701">
        <f t="shared" si="7"/>
        <v>0</v>
      </c>
    </row>
    <row r="109" spans="1:10" ht="15.75" hidden="1" x14ac:dyDescent="0.25">
      <c r="A109" s="730"/>
      <c r="B109" s="701">
        <f>+Stands!F87</f>
        <v>0</v>
      </c>
      <c r="C109" s="701" t="str">
        <f>+Stands!G87</f>
        <v>34.01.0003</v>
      </c>
      <c r="E109" s="701" t="str">
        <f t="shared" si="5"/>
        <v>NUT 2/50 M8*</v>
      </c>
      <c r="I109" s="702"/>
      <c r="J109" s="701">
        <f t="shared" si="7"/>
        <v>0</v>
      </c>
    </row>
    <row r="110" spans="1:10" ht="15.75" hidden="1" x14ac:dyDescent="0.25">
      <c r="A110" s="730"/>
      <c r="B110" s="701">
        <f>+Stands!F88</f>
        <v>0</v>
      </c>
      <c r="C110" s="701" t="str">
        <f>+Stands!G88</f>
        <v>34.01.0011</v>
      </c>
      <c r="E110" s="701" t="str">
        <f t="shared" si="5"/>
        <v>NUT 2/35 M8</v>
      </c>
      <c r="I110" s="702"/>
      <c r="J110" s="701">
        <f t="shared" si="7"/>
        <v>0</v>
      </c>
    </row>
    <row r="111" spans="1:10" ht="15.75" hidden="1" x14ac:dyDescent="0.25">
      <c r="A111" s="730"/>
      <c r="B111" s="701">
        <f>+Stands!F89</f>
        <v>0</v>
      </c>
      <c r="C111" s="701" t="str">
        <f>+Stands!G89</f>
        <v>51.00.</v>
      </c>
      <c r="E111" s="701" t="str">
        <f t="shared" si="5"/>
        <v>PROFILE MK 2000</v>
      </c>
      <c r="F111" s="734">
        <f>+Stands!H89</f>
        <v>-110</v>
      </c>
      <c r="I111" s="702"/>
      <c r="J111" s="701">
        <f t="shared" si="7"/>
        <v>0</v>
      </c>
    </row>
    <row r="112" spans="1:10" ht="15.75" hidden="1" x14ac:dyDescent="0.25">
      <c r="A112" s="730"/>
      <c r="B112" s="701">
        <f>+Stands!F90</f>
        <v>0</v>
      </c>
      <c r="C112" s="701" t="str">
        <f>+Stands!G90</f>
        <v>51.00.</v>
      </c>
      <c r="E112" s="701" t="str">
        <f t="shared" si="5"/>
        <v>PROFILE MK 2000</v>
      </c>
      <c r="F112" s="734">
        <f>+Stands!H90</f>
        <v>-110</v>
      </c>
      <c r="I112" s="702"/>
      <c r="J112" s="701">
        <f t="shared" si="7"/>
        <v>0</v>
      </c>
    </row>
    <row r="113" spans="1:10" ht="15.75" hidden="1" x14ac:dyDescent="0.25">
      <c r="A113" s="730"/>
      <c r="B113" s="701">
        <f>+Stands!F91</f>
        <v>0</v>
      </c>
      <c r="C113" s="701" t="str">
        <f>+Stands!G91</f>
        <v>51.00.</v>
      </c>
      <c r="E113" s="701" t="str">
        <f t="shared" si="5"/>
        <v>PROFILE MK 2000</v>
      </c>
      <c r="F113" s="734">
        <f>+Stands!H91</f>
        <v>900</v>
      </c>
      <c r="I113" s="702"/>
      <c r="J113" s="701">
        <f t="shared" si="7"/>
        <v>0</v>
      </c>
    </row>
    <row r="114" spans="1:10" ht="15.75" hidden="1" x14ac:dyDescent="0.25">
      <c r="A114" s="730"/>
      <c r="B114" s="701">
        <f>+Stands!F92</f>
        <v>0</v>
      </c>
      <c r="C114" s="701" t="str">
        <f>+Stands!G92</f>
        <v>51.00.</v>
      </c>
      <c r="E114" s="701" t="str">
        <f t="shared" si="5"/>
        <v>PROFILE MK 2000</v>
      </c>
      <c r="F114" s="734">
        <f>+Stands!H92</f>
        <v>600</v>
      </c>
      <c r="I114" s="702"/>
      <c r="J114" s="701">
        <f t="shared" si="7"/>
        <v>0</v>
      </c>
    </row>
    <row r="115" spans="1:10" ht="15.75" hidden="1" x14ac:dyDescent="0.25">
      <c r="A115" s="730"/>
      <c r="B115" s="701">
        <f>+Stands!F93</f>
        <v>0</v>
      </c>
      <c r="C115" s="701" t="str">
        <f>+Stands!G93</f>
        <v>50.02.0025</v>
      </c>
      <c r="E115" s="701" t="str">
        <f t="shared" si="5"/>
        <v>FLOOR PLATE</v>
      </c>
      <c r="I115" s="702"/>
      <c r="J115" s="701">
        <f t="shared" si="7"/>
        <v>0</v>
      </c>
    </row>
    <row r="116" spans="1:10" ht="15.75" hidden="1" x14ac:dyDescent="0.25">
      <c r="A116" s="730"/>
      <c r="B116" s="701">
        <f>+Stands!F94</f>
        <v>0</v>
      </c>
      <c r="C116" s="701" t="str">
        <f>+Stands!G94</f>
        <v>50.02.0018</v>
      </c>
      <c r="E116" s="701" t="str">
        <f t="shared" si="5"/>
        <v>PAD PLATE F M16</v>
      </c>
      <c r="I116" s="702"/>
      <c r="J116" s="701">
        <f t="shared" si="7"/>
        <v>0</v>
      </c>
    </row>
    <row r="117" spans="1:10" ht="15.75" hidden="1" x14ac:dyDescent="0.25">
      <c r="A117" s="730"/>
      <c r="B117" s="701">
        <f>+Stands!F95</f>
        <v>0</v>
      </c>
      <c r="C117" s="701" t="str">
        <f>+Stands!G95</f>
        <v>34.01.0002</v>
      </c>
      <c r="E117" s="701" t="str">
        <f t="shared" si="5"/>
        <v>NUT 2/25 M8</v>
      </c>
      <c r="I117" s="702"/>
      <c r="J117" s="701">
        <f t="shared" si="7"/>
        <v>0</v>
      </c>
    </row>
    <row r="118" spans="1:10" ht="15.75" hidden="1" x14ac:dyDescent="0.25">
      <c r="A118" s="730"/>
      <c r="B118" s="701">
        <f>+Stands!F96</f>
        <v>0</v>
      </c>
      <c r="C118" s="701" t="str">
        <f>+Stands!G96</f>
        <v>50.09.0059</v>
      </c>
      <c r="E118" s="701" t="str">
        <f t="shared" si="5"/>
        <v>STAND PLATE, SMALL, BLACK</v>
      </c>
      <c r="I118" s="702"/>
      <c r="J118" s="701">
        <f t="shared" si="7"/>
        <v>0</v>
      </c>
    </row>
    <row r="119" spans="1:10" ht="15.75" hidden="1" x14ac:dyDescent="0.25">
      <c r="A119" s="730"/>
      <c r="B119" s="701">
        <f>+Stands!F97</f>
        <v>0</v>
      </c>
      <c r="C119" s="701" t="str">
        <f>+Stands!G97</f>
        <v>50.09.0060</v>
      </c>
      <c r="E119" s="701" t="str">
        <f t="shared" si="5"/>
        <v>STAND PLATE, LONG, BLACK</v>
      </c>
      <c r="I119" s="702"/>
      <c r="J119" s="701">
        <f t="shared" si="7"/>
        <v>0</v>
      </c>
    </row>
    <row r="120" spans="1:10" ht="15.75" hidden="1" x14ac:dyDescent="0.25">
      <c r="A120" s="730"/>
      <c r="B120" s="701">
        <f>+Stands!F98</f>
        <v>0</v>
      </c>
      <c r="C120" s="701" t="str">
        <f>+Stands!G98</f>
        <v>50.09.0061</v>
      </c>
      <c r="E120" s="701" t="str">
        <f t="shared" si="5"/>
        <v>STAND PLATE, OFFSET LEFT</v>
      </c>
      <c r="I120" s="702"/>
      <c r="J120" s="701">
        <f t="shared" si="7"/>
        <v>0</v>
      </c>
    </row>
    <row r="121" spans="1:10" ht="15.75" hidden="1" x14ac:dyDescent="0.25">
      <c r="A121" s="730"/>
      <c r="B121" s="701">
        <f>+Stands!F99</f>
        <v>0</v>
      </c>
      <c r="C121" s="701" t="str">
        <f>+Stands!G99</f>
        <v>50.09.0062</v>
      </c>
      <c r="E121" s="701" t="str">
        <f t="shared" si="5"/>
        <v>STAND PLATE, OFFSET RIGHT</v>
      </c>
      <c r="I121" s="702"/>
      <c r="J121" s="701">
        <f t="shared" si="7"/>
        <v>0</v>
      </c>
    </row>
    <row r="122" spans="1:10" ht="15.75" hidden="1" x14ac:dyDescent="0.25">
      <c r="A122" s="730"/>
      <c r="B122" s="701">
        <f>+Stands!F100</f>
        <v>0</v>
      </c>
      <c r="C122" s="701" t="str">
        <f>+Stands!G100</f>
        <v>34.01.0006</v>
      </c>
      <c r="E122" s="701" t="str">
        <f t="shared" si="5"/>
        <v>NUT 3/50 M8</v>
      </c>
      <c r="I122" s="702"/>
      <c r="J122" s="701">
        <f t="shared" si="7"/>
        <v>0</v>
      </c>
    </row>
    <row r="123" spans="1:10" ht="15.75" hidden="1" x14ac:dyDescent="0.25">
      <c r="A123" s="730"/>
      <c r="B123" s="701">
        <f>+Stands!F101</f>
        <v>0</v>
      </c>
      <c r="C123" s="701" t="str">
        <f>+Stands!G101</f>
        <v>51.00.</v>
      </c>
      <c r="E123" s="701" t="str">
        <f t="shared" si="5"/>
        <v>PROFILE MK 2000</v>
      </c>
      <c r="F123" s="734">
        <f>+Stands!H101</f>
        <v>90</v>
      </c>
      <c r="I123" s="702"/>
      <c r="J123" s="701">
        <f t="shared" si="7"/>
        <v>0</v>
      </c>
    </row>
    <row r="124" spans="1:10" ht="15.75" hidden="1" x14ac:dyDescent="0.25">
      <c r="A124" s="730"/>
      <c r="B124" s="701">
        <f>+Stands!F102</f>
        <v>0</v>
      </c>
      <c r="C124" s="701" t="str">
        <f>+Stands!G102</f>
        <v>82.40.0741</v>
      </c>
      <c r="E124" s="701" t="str">
        <f t="shared" si="5"/>
        <v>ANGLE E25S*</v>
      </c>
      <c r="I124" s="702"/>
      <c r="J124" s="701">
        <f>IF(B124&lt;&gt;0,1,0)</f>
        <v>0</v>
      </c>
    </row>
    <row r="125" spans="1:10" ht="15.75" hidden="1" x14ac:dyDescent="0.25">
      <c r="A125" s="730"/>
      <c r="B125" s="701">
        <f>+Stands!F103</f>
        <v>0</v>
      </c>
      <c r="C125" s="701" t="str">
        <f>+Stands!G103</f>
        <v>82.40.0741</v>
      </c>
      <c r="E125" s="701" t="str">
        <f t="shared" si="5"/>
        <v>ANGLE E25S*</v>
      </c>
      <c r="I125" s="702"/>
      <c r="J125" s="701">
        <f>IF(B125&lt;&gt;0,1,0)</f>
        <v>0</v>
      </c>
    </row>
    <row r="126" spans="1:10" ht="15.75" hidden="1" x14ac:dyDescent="0.25">
      <c r="A126" s="730"/>
      <c r="B126" s="701">
        <f>+Stands!F104</f>
        <v>0</v>
      </c>
      <c r="C126" s="701" t="str">
        <f>+Stands!G104</f>
        <v>82.05.0052</v>
      </c>
      <c r="E126" s="701" t="str">
        <f t="shared" si="5"/>
        <v>ANGLE B50S2</v>
      </c>
      <c r="I126" s="702"/>
      <c r="J126" s="701">
        <f>IF(B126&lt;&gt;0,1,0)</f>
        <v>0</v>
      </c>
    </row>
    <row r="127" spans="1:10" ht="15.75" hidden="1" x14ac:dyDescent="0.25">
      <c r="A127" s="730"/>
      <c r="B127" s="701">
        <f>+Stands!F105</f>
        <v>0</v>
      </c>
      <c r="C127" s="701" t="str">
        <f>+Stands!G105</f>
        <v>MK 2500</v>
      </c>
      <c r="E127" s="701" t="str">
        <f t="shared" si="5"/>
        <v>END CAP 50 X 50</v>
      </c>
      <c r="I127" s="702"/>
      <c r="J127" s="701">
        <f>IF(B127&lt;&gt;0,1,0)</f>
        <v>0</v>
      </c>
    </row>
    <row r="128" spans="1:10" ht="15.75" x14ac:dyDescent="0.25">
      <c r="A128" s="730"/>
      <c r="C128" s="701"/>
      <c r="I128" s="702"/>
      <c r="J128" s="718">
        <v>1</v>
      </c>
    </row>
    <row r="129" spans="1:10" ht="15.75" hidden="1" x14ac:dyDescent="0.25">
      <c r="A129" s="730"/>
      <c r="B129" s="701">
        <f>+Stands!A75</f>
        <v>0</v>
      </c>
      <c r="C129" s="701" t="str">
        <f>+Stands!B75</f>
        <v>26.00.0006</v>
      </c>
      <c r="E129" s="701" t="str">
        <f>VLOOKUP(C129,PartsRange,2,FALSE)</f>
        <v>SUPPORT BRACKET*</v>
      </c>
      <c r="H129" s="919" t="s">
        <v>736</v>
      </c>
      <c r="I129" s="702"/>
      <c r="J129" s="701">
        <f t="shared" ref="J129:J136" si="8">IF(B129&lt;&gt;0,1,0)</f>
        <v>0</v>
      </c>
    </row>
    <row r="130" spans="1:10" ht="15.75" hidden="1" x14ac:dyDescent="0.25">
      <c r="A130" s="730"/>
      <c r="B130" s="701">
        <f>+Stands!F75</f>
        <v>0</v>
      </c>
      <c r="C130" s="701" t="str">
        <f>+Stands!E75</f>
        <v>34.01.0003</v>
      </c>
      <c r="E130" s="701" t="str">
        <f>VLOOKUP(C130,PartsRange,2,FALSE)</f>
        <v>NUT 2/50 M8*</v>
      </c>
      <c r="H130" s="921"/>
      <c r="I130" s="702"/>
      <c r="J130" s="701">
        <f>IF(B130&lt;&gt;0,1,0)</f>
        <v>0</v>
      </c>
    </row>
    <row r="131" spans="1:10" ht="15.75" x14ac:dyDescent="0.25">
      <c r="A131" s="730"/>
      <c r="C131" s="701"/>
      <c r="I131" s="702"/>
      <c r="J131" s="718">
        <v>1</v>
      </c>
    </row>
    <row r="132" spans="1:10" ht="15.75" hidden="1" x14ac:dyDescent="0.25">
      <c r="A132" s="730"/>
      <c r="B132" s="701">
        <f>+Stands!A31</f>
        <v>1</v>
      </c>
      <c r="C132" s="701" t="str">
        <f>+Stands!B31</f>
        <v>54.40.</v>
      </c>
      <c r="E132" s="701" t="str">
        <f>VLOOKUP(C132,PartsRange,2,FALSE)</f>
        <v>PROFILE MK 2040.40</v>
      </c>
      <c r="F132" s="734">
        <f>+Stands!C31</f>
        <v>3102.8</v>
      </c>
      <c r="H132" s="919" t="s">
        <v>731</v>
      </c>
      <c r="I132" s="702"/>
      <c r="J132" s="701">
        <f t="shared" si="8"/>
        <v>1</v>
      </c>
    </row>
    <row r="133" spans="1:10" ht="15.75" hidden="1" x14ac:dyDescent="0.25">
      <c r="A133" s="730"/>
      <c r="B133" s="701">
        <f>+Stands!A32</f>
        <v>3</v>
      </c>
      <c r="C133" s="701" t="str">
        <f>+Stands!B32</f>
        <v>82.40.0747</v>
      </c>
      <c r="E133" s="701" t="str">
        <f>VLOOKUP(C133,PartsRange,2,FALSE)</f>
        <v>ANGLE E40/S3*</v>
      </c>
      <c r="H133" s="920"/>
      <c r="I133" s="702"/>
      <c r="J133" s="701">
        <f t="shared" si="8"/>
        <v>1</v>
      </c>
    </row>
    <row r="134" spans="1:10" ht="15.75" hidden="1" x14ac:dyDescent="0.25">
      <c r="A134" s="730"/>
      <c r="B134" s="701">
        <f>+Stands!A33</f>
        <v>2</v>
      </c>
      <c r="C134" s="701" t="str">
        <f>+Stands!B33</f>
        <v>MK 2507</v>
      </c>
      <c r="E134" s="701" t="str">
        <f>VLOOKUP(C134,PartsRange,2,FALSE)</f>
        <v>END CAP 40X40</v>
      </c>
      <c r="H134" s="920"/>
      <c r="I134" s="702"/>
      <c r="J134" s="701">
        <f t="shared" si="8"/>
        <v>1</v>
      </c>
    </row>
    <row r="135" spans="1:10" ht="15.75" hidden="1" x14ac:dyDescent="0.25">
      <c r="A135" s="730"/>
      <c r="B135" s="701">
        <f>+Stands!A34</f>
        <v>0</v>
      </c>
      <c r="C135" s="701" t="str">
        <f>+Stands!B34</f>
        <v>50.05.0047</v>
      </c>
      <c r="E135" s="701" t="str">
        <f>VLOOKUP(C135,PartsRange,2,FALSE)</f>
        <v>STRAIGHT PLATE 07</v>
      </c>
      <c r="H135" s="920"/>
      <c r="I135" s="702"/>
      <c r="J135" s="701">
        <f t="shared" si="8"/>
        <v>0</v>
      </c>
    </row>
    <row r="136" spans="1:10" ht="15.75" hidden="1" x14ac:dyDescent="0.25">
      <c r="A136" s="730"/>
      <c r="B136" s="701">
        <f>+Stands!F34</f>
        <v>0</v>
      </c>
      <c r="C136" s="701">
        <f>+Stands!E34</f>
        <v>0</v>
      </c>
      <c r="E136" s="701" t="e">
        <f>VLOOKUP(C136,PartsRange,2,FALSE)</f>
        <v>#N/A</v>
      </c>
      <c r="H136" s="921"/>
      <c r="I136" s="702"/>
      <c r="J136" s="701">
        <f t="shared" si="8"/>
        <v>0</v>
      </c>
    </row>
    <row r="137" spans="1:10" x14ac:dyDescent="0.2">
      <c r="A137" s="738"/>
      <c r="B137" s="739"/>
      <c r="C137" s="740"/>
      <c r="D137" s="739"/>
      <c r="E137" s="739"/>
      <c r="F137" s="741"/>
      <c r="G137" s="739"/>
      <c r="H137" s="739"/>
      <c r="I137" s="742"/>
      <c r="J137" s="718">
        <v>1</v>
      </c>
    </row>
    <row r="138" spans="1:10" x14ac:dyDescent="0.2">
      <c r="G138" s="699"/>
    </row>
  </sheetData>
  <autoFilter ref="A8:J137" xr:uid="{00000000-0009-0000-0000-00000C000000}">
    <filterColumn colId="9">
      <filters>
        <filter val="1"/>
      </filters>
    </filterColumn>
  </autoFilter>
  <mergeCells count="17">
    <mergeCell ref="H132:H136"/>
    <mergeCell ref="B72:C72"/>
    <mergeCell ref="B78:C78"/>
    <mergeCell ref="B92:C92"/>
    <mergeCell ref="H129:H130"/>
    <mergeCell ref="B66:C66"/>
    <mergeCell ref="A1:D1"/>
    <mergeCell ref="A2:D2"/>
    <mergeCell ref="A3:E3"/>
    <mergeCell ref="B29:C29"/>
    <mergeCell ref="B34:C34"/>
    <mergeCell ref="B38:C38"/>
    <mergeCell ref="B42:C42"/>
    <mergeCell ref="B48:C48"/>
    <mergeCell ref="B51:C51"/>
    <mergeCell ref="B57:C57"/>
    <mergeCell ref="B60:C60"/>
  </mergeCells>
  <conditionalFormatting sqref="F132 F106 F93:F94 F111:F114 F123 F80 F75 F82:F86 H52:H55 F43:F45">
    <cfRule type="cellIs" dxfId="8" priority="8" stopIfTrue="1" operator="notEqual">
      <formula>0</formula>
    </cfRule>
  </conditionalFormatting>
  <conditionalFormatting sqref="H79:H81 H74:H76 H87:H88 H90">
    <cfRule type="cellIs" dxfId="7" priority="7" stopIfTrue="1" operator="notEqual">
      <formula>0</formula>
    </cfRule>
  </conditionalFormatting>
  <conditionalFormatting sqref="D54:D55 D82:D83 C11:C12 C16:C19 C21:C25">
    <cfRule type="cellIs" dxfId="6" priority="6" stopIfTrue="1" operator="notEqual">
      <formula>0</formula>
    </cfRule>
  </conditionalFormatting>
  <conditionalFormatting sqref="D73">
    <cfRule type="expression" dxfId="5" priority="5" stopIfTrue="1">
      <formula>quote106&lt;&gt;1</formula>
    </cfRule>
  </conditionalFormatting>
  <conditionalFormatting sqref="H89">
    <cfRule type="cellIs" dxfId="4" priority="3" stopIfTrue="1" operator="notEqual">
      <formula>0</formula>
    </cfRule>
  </conditionalFormatting>
  <conditionalFormatting sqref="C20">
    <cfRule type="cellIs" dxfId="3" priority="2" stopIfTrue="1" operator="notEqual">
      <formula>0</formula>
    </cfRule>
  </conditionalFormatting>
  <printOptions gridLines="1"/>
  <pageMargins left="0.75" right="0.75" top="0.69" bottom="0.73" header="0.5" footer="0.5"/>
  <pageSetup scale="52" fitToHeight="2" orientation="portrait" r:id="rId1"/>
  <headerFooter alignWithMargins="0">
    <oddFooter>&amp;L&amp;8&amp;F&amp;R&amp;D &amp;T</oddFooter>
  </headerFooter>
  <drawing r:id="rId2"/>
  <legacyDrawing r:id="rId3"/>
  <controls>
    <mc:AlternateContent xmlns:mc="http://schemas.openxmlformats.org/markup-compatibility/2006">
      <mc:Choice Requires="x14">
        <control shapeId="332802" r:id="rId4" name="PartsList2">
          <controlPr defaultSize="0" autoLine="0" r:id="rId5">
            <anchor moveWithCells="1">
              <from>
                <xdr:col>7</xdr:col>
                <xdr:colOff>628650</xdr:colOff>
                <xdr:row>0</xdr:row>
                <xdr:rowOff>209550</xdr:rowOff>
              </from>
              <to>
                <xdr:col>7</xdr:col>
                <xdr:colOff>1323975</xdr:colOff>
                <xdr:row>2</xdr:row>
                <xdr:rowOff>95250</xdr:rowOff>
              </to>
            </anchor>
          </controlPr>
        </control>
      </mc:Choice>
      <mc:Fallback>
        <control shapeId="332802" r:id="rId4" name="PartsList2"/>
      </mc:Fallback>
    </mc:AlternateContent>
    <mc:AlternateContent xmlns:mc="http://schemas.openxmlformats.org/markup-compatibility/2006">
      <mc:Choice Requires="x14">
        <control shapeId="332801" r:id="rId6" name="PartsList1">
          <controlPr defaultSize="0" autoLine="0" r:id="rId7">
            <anchor moveWithCells="1">
              <from>
                <xdr:col>6</xdr:col>
                <xdr:colOff>857250</xdr:colOff>
                <xdr:row>0</xdr:row>
                <xdr:rowOff>209550</xdr:rowOff>
              </from>
              <to>
                <xdr:col>7</xdr:col>
                <xdr:colOff>485775</xdr:colOff>
                <xdr:row>2</xdr:row>
                <xdr:rowOff>95250</xdr:rowOff>
              </to>
            </anchor>
          </controlPr>
        </control>
      </mc:Choice>
      <mc:Fallback>
        <control shapeId="332801" r:id="rId6" name="PartsList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5">
    <tabColor indexed="10"/>
  </sheetPr>
  <dimension ref="A1:E571"/>
  <sheetViews>
    <sheetView topLeftCell="A218" workbookViewId="0">
      <selection activeCell="C246" sqref="C246"/>
    </sheetView>
  </sheetViews>
  <sheetFormatPr defaultColWidth="8.85546875" defaultRowHeight="12.75" x14ac:dyDescent="0.2"/>
  <cols>
    <col min="1" max="1" width="15" style="381" bestFit="1" customWidth="1"/>
    <col min="2" max="2" width="44.28515625" style="244" bestFit="1" customWidth="1"/>
    <col min="3" max="3" width="10.5703125" style="111" bestFit="1" customWidth="1"/>
    <col min="4" max="4" width="12.28515625" style="111" bestFit="1" customWidth="1"/>
    <col min="5" max="16384" width="8.85546875" style="111"/>
  </cols>
  <sheetData>
    <row r="1" spans="1:5" x14ac:dyDescent="0.2">
      <c r="A1" s="119" t="s">
        <v>1654</v>
      </c>
      <c r="B1" s="119" t="s">
        <v>1655</v>
      </c>
      <c r="D1" s="626">
        <v>42574</v>
      </c>
    </row>
    <row r="2" spans="1:5" x14ac:dyDescent="0.2">
      <c r="A2" s="388" t="s">
        <v>938</v>
      </c>
      <c r="B2" s="389" t="s">
        <v>939</v>
      </c>
      <c r="C2" s="398" t="s">
        <v>1271</v>
      </c>
      <c r="D2" s="389" t="s">
        <v>484</v>
      </c>
      <c r="E2" s="389" t="s">
        <v>844</v>
      </c>
    </row>
    <row r="3" spans="1:5" x14ac:dyDescent="0.2">
      <c r="A3" s="382" t="s">
        <v>189</v>
      </c>
      <c r="B3" s="387" t="s">
        <v>190</v>
      </c>
      <c r="C3" s="117"/>
      <c r="D3" s="391">
        <v>9.4</v>
      </c>
      <c r="E3" s="117" t="s">
        <v>845</v>
      </c>
    </row>
    <row r="4" spans="1:5" ht="14.25" x14ac:dyDescent="0.2">
      <c r="A4" s="792" t="s">
        <v>2344</v>
      </c>
      <c r="B4" s="795" t="s">
        <v>2345</v>
      </c>
      <c r="C4" s="798"/>
      <c r="D4" s="799" t="s">
        <v>2346</v>
      </c>
      <c r="E4" s="798" t="s">
        <v>845</v>
      </c>
    </row>
    <row r="5" spans="1:5" ht="14.25" x14ac:dyDescent="0.2">
      <c r="A5" s="792" t="s">
        <v>2347</v>
      </c>
      <c r="B5" s="795" t="s">
        <v>2348</v>
      </c>
      <c r="C5" s="798"/>
      <c r="D5" s="799" t="s">
        <v>2346</v>
      </c>
      <c r="E5" s="798" t="s">
        <v>845</v>
      </c>
    </row>
    <row r="6" spans="1:5" ht="14.25" x14ac:dyDescent="0.2">
      <c r="A6" s="792" t="s">
        <v>2349</v>
      </c>
      <c r="B6" s="795" t="s">
        <v>2350</v>
      </c>
      <c r="C6" s="798"/>
      <c r="D6" s="799" t="s">
        <v>2346</v>
      </c>
      <c r="E6" s="798" t="s">
        <v>845</v>
      </c>
    </row>
    <row r="7" spans="1:5" ht="14.25" x14ac:dyDescent="0.2">
      <c r="A7" s="792" t="s">
        <v>2351</v>
      </c>
      <c r="B7" s="795" t="s">
        <v>2352</v>
      </c>
      <c r="C7" s="798"/>
      <c r="D7" s="799" t="s">
        <v>2346</v>
      </c>
      <c r="E7" s="798" t="s">
        <v>845</v>
      </c>
    </row>
    <row r="8" spans="1:5" ht="14.25" x14ac:dyDescent="0.2">
      <c r="A8" s="792" t="s">
        <v>2353</v>
      </c>
      <c r="B8" s="795" t="s">
        <v>2354</v>
      </c>
      <c r="C8" s="798"/>
      <c r="D8" s="799" t="s">
        <v>2346</v>
      </c>
      <c r="E8" s="798" t="s">
        <v>845</v>
      </c>
    </row>
    <row r="9" spans="1:5" ht="14.25" x14ac:dyDescent="0.2">
      <c r="A9" s="792" t="s">
        <v>2355</v>
      </c>
      <c r="B9" s="795" t="s">
        <v>2356</v>
      </c>
      <c r="C9" s="798"/>
      <c r="D9" s="799" t="s">
        <v>2346</v>
      </c>
      <c r="E9" s="798" t="s">
        <v>845</v>
      </c>
    </row>
    <row r="10" spans="1:5" ht="14.25" x14ac:dyDescent="0.2">
      <c r="A10" s="792" t="s">
        <v>2357</v>
      </c>
      <c r="B10" s="795" t="s">
        <v>2358</v>
      </c>
      <c r="C10" s="798"/>
      <c r="D10" s="799" t="s">
        <v>2346</v>
      </c>
      <c r="E10" s="798" t="s">
        <v>845</v>
      </c>
    </row>
    <row r="11" spans="1:5" ht="14.25" x14ac:dyDescent="0.2">
      <c r="A11" s="792" t="s">
        <v>2359</v>
      </c>
      <c r="B11" s="795" t="s">
        <v>2360</v>
      </c>
      <c r="C11" s="798"/>
      <c r="D11" s="799" t="s">
        <v>2346</v>
      </c>
      <c r="E11" s="798" t="s">
        <v>845</v>
      </c>
    </row>
    <row r="12" spans="1:5" ht="14.25" x14ac:dyDescent="0.2">
      <c r="A12" s="792" t="s">
        <v>2361</v>
      </c>
      <c r="B12" s="795" t="s">
        <v>2362</v>
      </c>
      <c r="C12" s="798"/>
      <c r="D12" s="799" t="s">
        <v>2346</v>
      </c>
      <c r="E12" s="798" t="s">
        <v>845</v>
      </c>
    </row>
    <row r="13" spans="1:5" ht="14.25" x14ac:dyDescent="0.2">
      <c r="A13" s="792" t="s">
        <v>2363</v>
      </c>
      <c r="B13" s="795" t="s">
        <v>2364</v>
      </c>
      <c r="C13" s="798"/>
      <c r="D13" s="799" t="s">
        <v>2346</v>
      </c>
      <c r="E13" s="798" t="s">
        <v>845</v>
      </c>
    </row>
    <row r="14" spans="1:5" ht="14.25" x14ac:dyDescent="0.2">
      <c r="A14" s="792" t="s">
        <v>2365</v>
      </c>
      <c r="B14" s="795" t="s">
        <v>2366</v>
      </c>
      <c r="C14" s="798"/>
      <c r="D14" s="799" t="s">
        <v>2346</v>
      </c>
      <c r="E14" s="798" t="s">
        <v>845</v>
      </c>
    </row>
    <row r="15" spans="1:5" ht="14.25" x14ac:dyDescent="0.2">
      <c r="A15" s="792" t="s">
        <v>2367</v>
      </c>
      <c r="B15" s="795" t="s">
        <v>2368</v>
      </c>
      <c r="C15" s="798"/>
      <c r="D15" s="799" t="s">
        <v>2346</v>
      </c>
      <c r="E15" s="798" t="s">
        <v>845</v>
      </c>
    </row>
    <row r="16" spans="1:5" ht="14.25" x14ac:dyDescent="0.2">
      <c r="A16" s="792" t="s">
        <v>2369</v>
      </c>
      <c r="B16" s="795" t="s">
        <v>2370</v>
      </c>
      <c r="C16" s="798"/>
      <c r="D16" s="799" t="s">
        <v>2346</v>
      </c>
      <c r="E16" s="798" t="s">
        <v>845</v>
      </c>
    </row>
    <row r="17" spans="1:5" ht="14.25" x14ac:dyDescent="0.2">
      <c r="A17" s="792" t="s">
        <v>2371</v>
      </c>
      <c r="B17" s="795" t="s">
        <v>2372</v>
      </c>
      <c r="C17" s="798"/>
      <c r="D17" s="799" t="s">
        <v>2346</v>
      </c>
      <c r="E17" s="798" t="s">
        <v>845</v>
      </c>
    </row>
    <row r="18" spans="1:5" ht="14.25" x14ac:dyDescent="0.2">
      <c r="A18" s="792" t="s">
        <v>2373</v>
      </c>
      <c r="B18" s="795" t="s">
        <v>2374</v>
      </c>
      <c r="C18" s="798"/>
      <c r="D18" s="799" t="s">
        <v>2346</v>
      </c>
      <c r="E18" s="798" t="s">
        <v>845</v>
      </c>
    </row>
    <row r="19" spans="1:5" ht="14.25" x14ac:dyDescent="0.2">
      <c r="A19" s="792" t="s">
        <v>2375</v>
      </c>
      <c r="B19" s="795" t="s">
        <v>2376</v>
      </c>
      <c r="C19" s="798"/>
      <c r="D19" s="799" t="s">
        <v>2346</v>
      </c>
      <c r="E19" s="798" t="s">
        <v>845</v>
      </c>
    </row>
    <row r="20" spans="1:5" ht="14.25" x14ac:dyDescent="0.2">
      <c r="A20" s="792" t="s">
        <v>2377</v>
      </c>
      <c r="B20" s="795" t="s">
        <v>2378</v>
      </c>
      <c r="C20" s="798"/>
      <c r="D20" s="799" t="s">
        <v>2346</v>
      </c>
      <c r="E20" s="798" t="s">
        <v>845</v>
      </c>
    </row>
    <row r="21" spans="1:5" ht="14.25" x14ac:dyDescent="0.2">
      <c r="A21" s="792" t="s">
        <v>2379</v>
      </c>
      <c r="B21" s="795" t="s">
        <v>2380</v>
      </c>
      <c r="C21" s="798"/>
      <c r="D21" s="799" t="s">
        <v>2346</v>
      </c>
      <c r="E21" s="798" t="s">
        <v>845</v>
      </c>
    </row>
    <row r="22" spans="1:5" x14ac:dyDescent="0.2">
      <c r="A22" s="383" t="s">
        <v>1140</v>
      </c>
      <c r="B22" s="387" t="s">
        <v>1837</v>
      </c>
      <c r="C22" s="117"/>
      <c r="D22" s="391">
        <v>9.75</v>
      </c>
      <c r="E22" s="117" t="s">
        <v>845</v>
      </c>
    </row>
    <row r="23" spans="1:5" x14ac:dyDescent="0.2">
      <c r="A23" s="384" t="s">
        <v>943</v>
      </c>
      <c r="B23" s="387" t="s">
        <v>1838</v>
      </c>
      <c r="C23" s="117"/>
      <c r="D23" s="391">
        <v>201</v>
      </c>
      <c r="E23" s="117" t="s">
        <v>845</v>
      </c>
    </row>
    <row r="24" spans="1:5" x14ac:dyDescent="0.2">
      <c r="A24" s="384" t="s">
        <v>944</v>
      </c>
      <c r="B24" s="387" t="s">
        <v>1838</v>
      </c>
      <c r="C24" s="117"/>
      <c r="D24" s="391">
        <v>216</v>
      </c>
      <c r="E24" s="117" t="s">
        <v>845</v>
      </c>
    </row>
    <row r="25" spans="1:5" x14ac:dyDescent="0.2">
      <c r="A25" s="384" t="s">
        <v>945</v>
      </c>
      <c r="B25" s="387" t="s">
        <v>1838</v>
      </c>
      <c r="C25" s="117"/>
      <c r="D25" s="391">
        <v>216</v>
      </c>
      <c r="E25" s="117" t="s">
        <v>845</v>
      </c>
    </row>
    <row r="26" spans="1:5" x14ac:dyDescent="0.2">
      <c r="A26" s="384" t="s">
        <v>946</v>
      </c>
      <c r="B26" s="387" t="s">
        <v>1838</v>
      </c>
      <c r="C26" s="117"/>
      <c r="D26" s="391">
        <v>231</v>
      </c>
      <c r="E26" s="117" t="s">
        <v>845</v>
      </c>
    </row>
    <row r="27" spans="1:5" x14ac:dyDescent="0.2">
      <c r="A27" s="397" t="s">
        <v>1009</v>
      </c>
      <c r="B27" s="387" t="s">
        <v>1620</v>
      </c>
      <c r="C27" s="117"/>
      <c r="D27" s="391">
        <v>178</v>
      </c>
      <c r="E27" s="117" t="s">
        <v>845</v>
      </c>
    </row>
    <row r="28" spans="1:5" x14ac:dyDescent="0.2">
      <c r="A28" s="397" t="s">
        <v>1010</v>
      </c>
      <c r="B28" s="387" t="s">
        <v>1620</v>
      </c>
      <c r="C28" s="117"/>
      <c r="D28" s="391">
        <v>193</v>
      </c>
      <c r="E28" s="117" t="s">
        <v>845</v>
      </c>
    </row>
    <row r="29" spans="1:5" x14ac:dyDescent="0.2">
      <c r="A29" s="397" t="s">
        <v>1011</v>
      </c>
      <c r="B29" s="387" t="s">
        <v>1620</v>
      </c>
      <c r="C29" s="117"/>
      <c r="D29" s="391">
        <v>201</v>
      </c>
      <c r="E29" s="117" t="s">
        <v>845</v>
      </c>
    </row>
    <row r="30" spans="1:5" x14ac:dyDescent="0.2">
      <c r="A30" s="397" t="s">
        <v>1012</v>
      </c>
      <c r="B30" s="387" t="s">
        <v>1620</v>
      </c>
      <c r="C30" s="117"/>
      <c r="D30" s="391">
        <v>215</v>
      </c>
      <c r="E30" s="117" t="s">
        <v>845</v>
      </c>
    </row>
    <row r="31" spans="1:5" x14ac:dyDescent="0.2">
      <c r="A31" s="384" t="s">
        <v>953</v>
      </c>
      <c r="B31" s="387" t="s">
        <v>1839</v>
      </c>
      <c r="C31" s="117"/>
      <c r="D31" s="391">
        <v>211</v>
      </c>
      <c r="E31" s="117" t="s">
        <v>845</v>
      </c>
    </row>
    <row r="32" spans="1:5" x14ac:dyDescent="0.2">
      <c r="A32" s="384" t="s">
        <v>954</v>
      </c>
      <c r="B32" s="387" t="s">
        <v>1840</v>
      </c>
      <c r="C32" s="117"/>
      <c r="D32" s="391">
        <v>197</v>
      </c>
      <c r="E32" s="117" t="s">
        <v>845</v>
      </c>
    </row>
    <row r="33" spans="1:5" x14ac:dyDescent="0.2">
      <c r="A33" s="384" t="s">
        <v>949</v>
      </c>
      <c r="B33" s="387" t="s">
        <v>1839</v>
      </c>
      <c r="C33" s="117"/>
      <c r="D33" s="391">
        <v>226</v>
      </c>
      <c r="E33" s="117" t="s">
        <v>845</v>
      </c>
    </row>
    <row r="34" spans="1:5" x14ac:dyDescent="0.2">
      <c r="A34" s="384" t="s">
        <v>950</v>
      </c>
      <c r="B34" s="387" t="s">
        <v>1840</v>
      </c>
      <c r="C34" s="117"/>
      <c r="D34" s="391">
        <v>212</v>
      </c>
      <c r="E34" s="117" t="s">
        <v>845</v>
      </c>
    </row>
    <row r="35" spans="1:5" x14ac:dyDescent="0.2">
      <c r="A35" s="384" t="s">
        <v>957</v>
      </c>
      <c r="B35" s="387" t="s">
        <v>1841</v>
      </c>
      <c r="C35" s="117"/>
      <c r="D35" s="391">
        <v>702</v>
      </c>
      <c r="E35" s="117" t="s">
        <v>845</v>
      </c>
    </row>
    <row r="36" spans="1:5" x14ac:dyDescent="0.2">
      <c r="A36" s="384" t="s">
        <v>958</v>
      </c>
      <c r="B36" s="387" t="s">
        <v>1842</v>
      </c>
      <c r="C36" s="117"/>
      <c r="D36" s="391">
        <v>457</v>
      </c>
      <c r="E36" s="117" t="s">
        <v>845</v>
      </c>
    </row>
    <row r="37" spans="1:5" x14ac:dyDescent="0.2">
      <c r="A37" s="397" t="s">
        <v>1013</v>
      </c>
      <c r="B37" s="387" t="s">
        <v>1621</v>
      </c>
      <c r="C37" s="117"/>
      <c r="D37" s="391">
        <v>408</v>
      </c>
      <c r="E37" s="117" t="s">
        <v>845</v>
      </c>
    </row>
    <row r="38" spans="1:5" x14ac:dyDescent="0.2">
      <c r="A38" s="397" t="s">
        <v>1014</v>
      </c>
      <c r="B38" s="387" t="s">
        <v>1622</v>
      </c>
      <c r="C38" s="117"/>
      <c r="D38" s="391">
        <v>452</v>
      </c>
      <c r="E38" s="117" t="s">
        <v>845</v>
      </c>
    </row>
    <row r="39" spans="1:5" x14ac:dyDescent="0.2">
      <c r="A39" s="384" t="s">
        <v>959</v>
      </c>
      <c r="B39" s="387" t="s">
        <v>1843</v>
      </c>
      <c r="C39" s="117"/>
      <c r="D39" s="391">
        <v>335</v>
      </c>
      <c r="E39" s="117" t="s">
        <v>845</v>
      </c>
    </row>
    <row r="40" spans="1:5" x14ac:dyDescent="0.2">
      <c r="A40" s="384" t="s">
        <v>960</v>
      </c>
      <c r="B40" s="387" t="s">
        <v>1844</v>
      </c>
      <c r="C40" s="117"/>
      <c r="D40" s="391">
        <v>376</v>
      </c>
      <c r="E40" s="117" t="s">
        <v>845</v>
      </c>
    </row>
    <row r="41" spans="1:5" x14ac:dyDescent="0.2">
      <c r="A41" s="384" t="s">
        <v>961</v>
      </c>
      <c r="B41" s="387" t="s">
        <v>1845</v>
      </c>
      <c r="C41" s="117"/>
      <c r="D41" s="391">
        <v>237</v>
      </c>
      <c r="E41" s="117" t="s">
        <v>845</v>
      </c>
    </row>
    <row r="42" spans="1:5" x14ac:dyDescent="0.2">
      <c r="A42" s="384" t="s">
        <v>987</v>
      </c>
      <c r="B42" s="387" t="s">
        <v>1846</v>
      </c>
      <c r="C42" s="117"/>
      <c r="D42" s="391">
        <v>334</v>
      </c>
      <c r="E42" s="117" t="s">
        <v>845</v>
      </c>
    </row>
    <row r="43" spans="1:5" x14ac:dyDescent="0.2">
      <c r="A43" s="384" t="s">
        <v>988</v>
      </c>
      <c r="B43" s="387" t="s">
        <v>1847</v>
      </c>
      <c r="C43" s="117"/>
      <c r="D43" s="391">
        <v>334</v>
      </c>
      <c r="E43" s="117" t="s">
        <v>845</v>
      </c>
    </row>
    <row r="44" spans="1:5" x14ac:dyDescent="0.2">
      <c r="A44" s="384" t="s">
        <v>989</v>
      </c>
      <c r="B44" s="387" t="s">
        <v>1848</v>
      </c>
      <c r="C44" s="117"/>
      <c r="D44" s="391">
        <v>335</v>
      </c>
      <c r="E44" s="117" t="s">
        <v>845</v>
      </c>
    </row>
    <row r="45" spans="1:5" x14ac:dyDescent="0.2">
      <c r="A45" s="384" t="s">
        <v>990</v>
      </c>
      <c r="B45" s="387" t="s">
        <v>1849</v>
      </c>
      <c r="C45" s="117"/>
      <c r="D45" s="391">
        <v>335</v>
      </c>
      <c r="E45" s="117" t="s">
        <v>845</v>
      </c>
    </row>
    <row r="46" spans="1:5" x14ac:dyDescent="0.2">
      <c r="A46" s="397" t="s">
        <v>1015</v>
      </c>
      <c r="B46" s="387" t="s">
        <v>1623</v>
      </c>
      <c r="C46" s="117"/>
      <c r="D46" s="391">
        <v>347</v>
      </c>
      <c r="E46" s="117" t="s">
        <v>845</v>
      </c>
    </row>
    <row r="47" spans="1:5" x14ac:dyDescent="0.2">
      <c r="A47" s="397" t="s">
        <v>1016</v>
      </c>
      <c r="B47" s="387" t="s">
        <v>1624</v>
      </c>
      <c r="C47" s="117"/>
      <c r="D47" s="391">
        <v>347</v>
      </c>
      <c r="E47" s="117" t="s">
        <v>845</v>
      </c>
    </row>
    <row r="48" spans="1:5" x14ac:dyDescent="0.2">
      <c r="A48" s="384" t="s">
        <v>1548</v>
      </c>
      <c r="B48" s="387" t="s">
        <v>1850</v>
      </c>
      <c r="C48" s="117"/>
      <c r="D48" s="391">
        <v>105</v>
      </c>
      <c r="E48" s="117" t="s">
        <v>845</v>
      </c>
    </row>
    <row r="49" spans="1:5" x14ac:dyDescent="0.2">
      <c r="A49" s="384" t="s">
        <v>1550</v>
      </c>
      <c r="B49" s="387" t="s">
        <v>1851</v>
      </c>
      <c r="C49" s="117"/>
      <c r="D49" s="391">
        <v>123</v>
      </c>
      <c r="E49" s="117" t="s">
        <v>845</v>
      </c>
    </row>
    <row r="50" spans="1:5" x14ac:dyDescent="0.2">
      <c r="A50" s="384" t="s">
        <v>1549</v>
      </c>
      <c r="B50" s="387" t="s">
        <v>1852</v>
      </c>
      <c r="C50" s="117"/>
      <c r="D50" s="391">
        <v>154</v>
      </c>
      <c r="E50" s="117" t="s">
        <v>845</v>
      </c>
    </row>
    <row r="51" spans="1:5" x14ac:dyDescent="0.2">
      <c r="A51" s="384" t="s">
        <v>1551</v>
      </c>
      <c r="B51" s="387" t="s">
        <v>1853</v>
      </c>
      <c r="C51" s="117"/>
      <c r="D51" s="391">
        <v>162</v>
      </c>
      <c r="E51" s="117" t="s">
        <v>845</v>
      </c>
    </row>
    <row r="52" spans="1:5" x14ac:dyDescent="0.2">
      <c r="A52" s="384" t="s">
        <v>1552</v>
      </c>
      <c r="B52" s="387" t="s">
        <v>1854</v>
      </c>
      <c r="C52" s="117"/>
      <c r="D52" s="391">
        <v>183</v>
      </c>
      <c r="E52" s="117" t="s">
        <v>845</v>
      </c>
    </row>
    <row r="53" spans="1:5" x14ac:dyDescent="0.2">
      <c r="A53" s="384" t="s">
        <v>1553</v>
      </c>
      <c r="B53" s="387" t="s">
        <v>1855</v>
      </c>
      <c r="C53" s="117"/>
      <c r="D53" s="391">
        <v>190</v>
      </c>
      <c r="E53" s="117" t="s">
        <v>845</v>
      </c>
    </row>
    <row r="54" spans="1:5" x14ac:dyDescent="0.2">
      <c r="A54" s="384" t="s">
        <v>1554</v>
      </c>
      <c r="B54" s="387" t="s">
        <v>1856</v>
      </c>
      <c r="C54" s="117"/>
      <c r="D54" s="391">
        <v>258</v>
      </c>
      <c r="E54" s="117" t="s">
        <v>845</v>
      </c>
    </row>
    <row r="55" spans="1:5" x14ac:dyDescent="0.2">
      <c r="A55" s="384" t="s">
        <v>1555</v>
      </c>
      <c r="B55" s="387" t="s">
        <v>1857</v>
      </c>
      <c r="C55" s="117"/>
      <c r="D55" s="391">
        <v>276</v>
      </c>
      <c r="E55" s="117" t="s">
        <v>845</v>
      </c>
    </row>
    <row r="56" spans="1:5" x14ac:dyDescent="0.2">
      <c r="A56" s="384" t="s">
        <v>1556</v>
      </c>
      <c r="B56" s="387" t="s">
        <v>1858</v>
      </c>
      <c r="C56" s="117"/>
      <c r="D56" s="391">
        <v>410</v>
      </c>
      <c r="E56" s="117" t="s">
        <v>845</v>
      </c>
    </row>
    <row r="57" spans="1:5" x14ac:dyDescent="0.2">
      <c r="A57" s="384" t="s">
        <v>1557</v>
      </c>
      <c r="B57" s="387" t="s">
        <v>1859</v>
      </c>
      <c r="C57" s="117"/>
      <c r="D57" s="391">
        <v>428</v>
      </c>
      <c r="E57" s="117" t="s">
        <v>845</v>
      </c>
    </row>
    <row r="58" spans="1:5" x14ac:dyDescent="0.2">
      <c r="A58" s="384" t="s">
        <v>1558</v>
      </c>
      <c r="B58" s="387" t="s">
        <v>1860</v>
      </c>
      <c r="C58" s="117"/>
      <c r="D58" s="391">
        <v>570</v>
      </c>
      <c r="E58" s="117" t="s">
        <v>845</v>
      </c>
    </row>
    <row r="59" spans="1:5" x14ac:dyDescent="0.2">
      <c r="A59" s="384" t="s">
        <v>993</v>
      </c>
      <c r="B59" s="387" t="s">
        <v>1861</v>
      </c>
      <c r="C59" s="117"/>
      <c r="D59" s="391">
        <v>242</v>
      </c>
      <c r="E59" s="117" t="s">
        <v>845</v>
      </c>
    </row>
    <row r="60" spans="1:5" x14ac:dyDescent="0.2">
      <c r="A60" s="397" t="s">
        <v>1019</v>
      </c>
      <c r="B60" s="387" t="s">
        <v>1636</v>
      </c>
      <c r="C60" s="117"/>
      <c r="D60" s="391">
        <v>228</v>
      </c>
      <c r="E60" s="117" t="s">
        <v>845</v>
      </c>
    </row>
    <row r="61" spans="1:5" x14ac:dyDescent="0.2">
      <c r="A61" s="397" t="s">
        <v>1023</v>
      </c>
      <c r="B61" s="387" t="s">
        <v>1625</v>
      </c>
      <c r="C61" s="117"/>
      <c r="D61" s="758">
        <v>110</v>
      </c>
      <c r="E61" s="117" t="s">
        <v>845</v>
      </c>
    </row>
    <row r="62" spans="1:5" x14ac:dyDescent="0.2">
      <c r="A62" s="397" t="s">
        <v>1024</v>
      </c>
      <c r="B62" s="387" t="s">
        <v>1626</v>
      </c>
      <c r="C62" s="117"/>
      <c r="D62" s="758">
        <v>129</v>
      </c>
      <c r="E62" s="117" t="s">
        <v>845</v>
      </c>
    </row>
    <row r="63" spans="1:5" x14ac:dyDescent="0.2">
      <c r="A63" s="397" t="s">
        <v>1025</v>
      </c>
      <c r="B63" s="387" t="s">
        <v>1627</v>
      </c>
      <c r="C63" s="117"/>
      <c r="D63" s="758">
        <v>148</v>
      </c>
      <c r="E63" s="117" t="s">
        <v>845</v>
      </c>
    </row>
    <row r="64" spans="1:5" x14ac:dyDescent="0.2">
      <c r="A64" s="397" t="s">
        <v>1026</v>
      </c>
      <c r="B64" s="387" t="s">
        <v>1628</v>
      </c>
      <c r="C64" s="117"/>
      <c r="D64" s="758">
        <v>165</v>
      </c>
      <c r="E64" s="117" t="s">
        <v>845</v>
      </c>
    </row>
    <row r="65" spans="1:5" x14ac:dyDescent="0.2">
      <c r="A65" s="397" t="s">
        <v>1027</v>
      </c>
      <c r="B65" s="387" t="s">
        <v>1629</v>
      </c>
      <c r="C65" s="117"/>
      <c r="D65" s="758">
        <v>200</v>
      </c>
      <c r="E65" s="117" t="s">
        <v>845</v>
      </c>
    </row>
    <row r="66" spans="1:5" x14ac:dyDescent="0.2">
      <c r="A66" s="397" t="s">
        <v>1028</v>
      </c>
      <c r="B66" s="387" t="s">
        <v>1630</v>
      </c>
      <c r="C66" s="117"/>
      <c r="D66" s="758">
        <v>203</v>
      </c>
      <c r="E66" s="117" t="s">
        <v>845</v>
      </c>
    </row>
    <row r="67" spans="1:5" x14ac:dyDescent="0.2">
      <c r="A67" s="397" t="s">
        <v>1029</v>
      </c>
      <c r="B67" s="387" t="s">
        <v>1631</v>
      </c>
      <c r="C67" s="117"/>
      <c r="D67" s="758">
        <v>272</v>
      </c>
      <c r="E67" s="117" t="s">
        <v>845</v>
      </c>
    </row>
    <row r="68" spans="1:5" x14ac:dyDescent="0.2">
      <c r="A68" s="397" t="s">
        <v>1030</v>
      </c>
      <c r="B68" s="387" t="s">
        <v>1632</v>
      </c>
      <c r="C68" s="117"/>
      <c r="D68" s="758">
        <v>273</v>
      </c>
      <c r="E68" s="117" t="s">
        <v>845</v>
      </c>
    </row>
    <row r="69" spans="1:5" x14ac:dyDescent="0.2">
      <c r="A69" s="397" t="s">
        <v>1031</v>
      </c>
      <c r="B69" s="387" t="s">
        <v>1633</v>
      </c>
      <c r="C69" s="117"/>
      <c r="D69" s="391">
        <v>376</v>
      </c>
      <c r="E69" s="117" t="s">
        <v>845</v>
      </c>
    </row>
    <row r="70" spans="1:5" x14ac:dyDescent="0.2">
      <c r="A70" s="397" t="s">
        <v>1032</v>
      </c>
      <c r="B70" s="387" t="s">
        <v>1634</v>
      </c>
      <c r="C70" s="117"/>
      <c r="D70" s="758">
        <v>421</v>
      </c>
      <c r="E70" s="117" t="s">
        <v>845</v>
      </c>
    </row>
    <row r="71" spans="1:5" x14ac:dyDescent="0.2">
      <c r="A71" s="397" t="s">
        <v>1033</v>
      </c>
      <c r="B71" s="387" t="s">
        <v>1635</v>
      </c>
      <c r="C71" s="117"/>
      <c r="D71" s="391">
        <v>588</v>
      </c>
      <c r="E71" s="117" t="s">
        <v>845</v>
      </c>
    </row>
    <row r="72" spans="1:5" x14ac:dyDescent="0.2">
      <c r="A72" s="384" t="s">
        <v>994</v>
      </c>
      <c r="B72" s="387" t="s">
        <v>1862</v>
      </c>
      <c r="C72" s="117"/>
      <c r="D72" s="391">
        <v>488</v>
      </c>
      <c r="E72" s="117" t="s">
        <v>845</v>
      </c>
    </row>
    <row r="73" spans="1:5" x14ac:dyDescent="0.2">
      <c r="A73" s="397" t="s">
        <v>1021</v>
      </c>
      <c r="B73" s="387" t="s">
        <v>1637</v>
      </c>
      <c r="C73" s="117"/>
      <c r="D73" s="758">
        <v>355</v>
      </c>
      <c r="E73" s="117" t="s">
        <v>845</v>
      </c>
    </row>
    <row r="74" spans="1:5" x14ac:dyDescent="0.2">
      <c r="A74" s="384" t="s">
        <v>995</v>
      </c>
      <c r="B74" s="387" t="s">
        <v>1863</v>
      </c>
      <c r="C74" s="117"/>
      <c r="D74" s="391">
        <v>341</v>
      </c>
      <c r="E74" s="117" t="s">
        <v>845</v>
      </c>
    </row>
    <row r="75" spans="1:5" x14ac:dyDescent="0.2">
      <c r="A75" s="397" t="s">
        <v>1022</v>
      </c>
      <c r="B75" s="387" t="s">
        <v>1638</v>
      </c>
      <c r="C75" s="117"/>
      <c r="D75" s="391">
        <v>378</v>
      </c>
      <c r="E75" s="117" t="s">
        <v>845</v>
      </c>
    </row>
    <row r="76" spans="1:5" x14ac:dyDescent="0.2">
      <c r="A76" s="384" t="s">
        <v>1565</v>
      </c>
      <c r="B76" s="387" t="s">
        <v>1864</v>
      </c>
      <c r="C76" s="117"/>
      <c r="D76" s="391">
        <v>118</v>
      </c>
      <c r="E76" s="117" t="s">
        <v>845</v>
      </c>
    </row>
    <row r="77" spans="1:5" x14ac:dyDescent="0.2">
      <c r="A77" s="384" t="s">
        <v>1566</v>
      </c>
      <c r="B77" s="387" t="s">
        <v>1865</v>
      </c>
      <c r="C77" s="117"/>
      <c r="D77" s="391">
        <v>137</v>
      </c>
      <c r="E77" s="117" t="s">
        <v>845</v>
      </c>
    </row>
    <row r="78" spans="1:5" x14ac:dyDescent="0.2">
      <c r="A78" s="384" t="s">
        <v>1567</v>
      </c>
      <c r="B78" s="387" t="s">
        <v>1866</v>
      </c>
      <c r="C78" s="117"/>
      <c r="D78" s="391">
        <v>154</v>
      </c>
      <c r="E78" s="117" t="s">
        <v>845</v>
      </c>
    </row>
    <row r="79" spans="1:5" x14ac:dyDescent="0.2">
      <c r="A79" s="384" t="s">
        <v>1568</v>
      </c>
      <c r="B79" s="387" t="s">
        <v>1867</v>
      </c>
      <c r="C79" s="117"/>
      <c r="D79" s="391">
        <v>170</v>
      </c>
      <c r="E79" s="117" t="s">
        <v>845</v>
      </c>
    </row>
    <row r="80" spans="1:5" x14ac:dyDescent="0.2">
      <c r="A80" s="384" t="s">
        <v>1569</v>
      </c>
      <c r="B80" s="387" t="s">
        <v>1868</v>
      </c>
      <c r="C80" s="117"/>
      <c r="D80" s="391">
        <v>204</v>
      </c>
      <c r="E80" s="117" t="s">
        <v>845</v>
      </c>
    </row>
    <row r="81" spans="1:5" x14ac:dyDescent="0.2">
      <c r="A81" s="384" t="s">
        <v>1570</v>
      </c>
      <c r="B81" s="387" t="s">
        <v>1869</v>
      </c>
      <c r="C81" s="117"/>
      <c r="D81" s="391">
        <v>208</v>
      </c>
      <c r="E81" s="117" t="s">
        <v>845</v>
      </c>
    </row>
    <row r="82" spans="1:5" x14ac:dyDescent="0.2">
      <c r="A82" s="384" t="s">
        <v>1571</v>
      </c>
      <c r="B82" s="387" t="s">
        <v>1870</v>
      </c>
      <c r="C82" s="117"/>
      <c r="D82" s="391">
        <v>274</v>
      </c>
      <c r="E82" s="117" t="s">
        <v>845</v>
      </c>
    </row>
    <row r="83" spans="1:5" x14ac:dyDescent="0.2">
      <c r="A83" s="384" t="s">
        <v>1575</v>
      </c>
      <c r="B83" s="387" t="s">
        <v>1871</v>
      </c>
      <c r="C83" s="117"/>
      <c r="D83" s="391">
        <v>274</v>
      </c>
      <c r="E83" s="117" t="s">
        <v>845</v>
      </c>
    </row>
    <row r="84" spans="1:5" x14ac:dyDescent="0.2">
      <c r="A84" s="384" t="s">
        <v>1574</v>
      </c>
      <c r="B84" s="387" t="s">
        <v>1872</v>
      </c>
      <c r="C84" s="117"/>
      <c r="D84" s="391">
        <v>375</v>
      </c>
      <c r="E84" s="117" t="s">
        <v>845</v>
      </c>
    </row>
    <row r="85" spans="1:5" x14ac:dyDescent="0.2">
      <c r="A85" s="384" t="s">
        <v>1576</v>
      </c>
      <c r="B85" s="387" t="s">
        <v>1873</v>
      </c>
      <c r="C85" s="117"/>
      <c r="D85" s="391">
        <v>418</v>
      </c>
      <c r="E85" s="117" t="s">
        <v>845</v>
      </c>
    </row>
    <row r="86" spans="1:5" x14ac:dyDescent="0.2">
      <c r="A86" s="384" t="s">
        <v>1577</v>
      </c>
      <c r="B86" s="387" t="s">
        <v>1874</v>
      </c>
      <c r="C86" s="117"/>
      <c r="D86" s="391">
        <v>585</v>
      </c>
      <c r="E86" s="117" t="s">
        <v>845</v>
      </c>
    </row>
    <row r="87" spans="1:5" x14ac:dyDescent="0.2">
      <c r="A87" s="384" t="s">
        <v>996</v>
      </c>
      <c r="B87" s="387" t="s">
        <v>1875</v>
      </c>
      <c r="C87" s="117"/>
      <c r="D87" s="391">
        <v>470</v>
      </c>
      <c r="E87" s="117" t="s">
        <v>845</v>
      </c>
    </row>
    <row r="88" spans="1:5" x14ac:dyDescent="0.2">
      <c r="A88" s="382" t="s">
        <v>1204</v>
      </c>
      <c r="B88" s="387" t="s">
        <v>1876</v>
      </c>
      <c r="C88" s="117"/>
      <c r="D88" s="391">
        <v>18</v>
      </c>
      <c r="E88" s="117" t="s">
        <v>846</v>
      </c>
    </row>
    <row r="89" spans="1:5" x14ac:dyDescent="0.2">
      <c r="A89" s="382" t="s">
        <v>1210</v>
      </c>
      <c r="B89" s="387" t="s">
        <v>1877</v>
      </c>
      <c r="C89" s="117"/>
      <c r="D89" s="391">
        <v>23.2</v>
      </c>
      <c r="E89" s="117" t="s">
        <v>846</v>
      </c>
    </row>
    <row r="90" spans="1:5" x14ac:dyDescent="0.2">
      <c r="A90" s="382" t="s">
        <v>1208</v>
      </c>
      <c r="B90" s="387" t="s">
        <v>1878</v>
      </c>
      <c r="C90" s="117"/>
      <c r="D90" s="391">
        <v>32.5</v>
      </c>
      <c r="E90" s="117" t="s">
        <v>846</v>
      </c>
    </row>
    <row r="91" spans="1:5" x14ac:dyDescent="0.2">
      <c r="A91" s="382" t="s">
        <v>1211</v>
      </c>
      <c r="B91" s="387" t="s">
        <v>1879</v>
      </c>
      <c r="C91" s="117"/>
      <c r="D91" s="391">
        <v>15.75</v>
      </c>
      <c r="E91" s="117" t="s">
        <v>846</v>
      </c>
    </row>
    <row r="92" spans="1:5" x14ac:dyDescent="0.2">
      <c r="A92" s="382" t="s">
        <v>1287</v>
      </c>
      <c r="B92" s="387" t="s">
        <v>1880</v>
      </c>
      <c r="C92" s="117"/>
      <c r="D92" s="391">
        <v>9.8000000000000007</v>
      </c>
      <c r="E92" s="117" t="s">
        <v>845</v>
      </c>
    </row>
    <row r="93" spans="1:5" x14ac:dyDescent="0.2">
      <c r="A93" s="384" t="s">
        <v>1145</v>
      </c>
      <c r="B93" s="387" t="s">
        <v>1881</v>
      </c>
      <c r="C93" s="117"/>
      <c r="D93" s="391">
        <v>7.5</v>
      </c>
      <c r="E93" s="117" t="s">
        <v>845</v>
      </c>
    </row>
    <row r="94" spans="1:5" x14ac:dyDescent="0.2">
      <c r="A94" s="384" t="s">
        <v>1146</v>
      </c>
      <c r="B94" s="387" t="s">
        <v>1882</v>
      </c>
      <c r="C94" s="117"/>
      <c r="D94" s="391">
        <v>8</v>
      </c>
      <c r="E94" s="117" t="s">
        <v>845</v>
      </c>
    </row>
    <row r="95" spans="1:5" x14ac:dyDescent="0.2">
      <c r="A95" s="384" t="s">
        <v>1067</v>
      </c>
      <c r="B95" s="387" t="s">
        <v>0</v>
      </c>
      <c r="C95" s="117"/>
      <c r="D95" s="391">
        <v>26</v>
      </c>
      <c r="E95" s="117" t="s">
        <v>845</v>
      </c>
    </row>
    <row r="96" spans="1:5" x14ac:dyDescent="0.2">
      <c r="A96" s="384" t="s">
        <v>1068</v>
      </c>
      <c r="B96" s="387" t="s">
        <v>0</v>
      </c>
      <c r="C96" s="117"/>
      <c r="D96" s="391">
        <v>49</v>
      </c>
      <c r="E96" s="117" t="s">
        <v>845</v>
      </c>
    </row>
    <row r="97" spans="1:5" x14ac:dyDescent="0.2">
      <c r="A97" s="384" t="s">
        <v>1069</v>
      </c>
      <c r="B97" s="387" t="s">
        <v>1</v>
      </c>
      <c r="C97" s="117"/>
      <c r="D97" s="391">
        <v>63</v>
      </c>
      <c r="E97" s="117" t="s">
        <v>845</v>
      </c>
    </row>
    <row r="98" spans="1:5" x14ac:dyDescent="0.2">
      <c r="A98" s="384" t="s">
        <v>1071</v>
      </c>
      <c r="B98" s="387" t="s">
        <v>2</v>
      </c>
      <c r="C98" s="117"/>
      <c r="D98" s="391">
        <v>53</v>
      </c>
      <c r="E98" s="117" t="s">
        <v>845</v>
      </c>
    </row>
    <row r="99" spans="1:5" x14ac:dyDescent="0.2">
      <c r="A99" s="384" t="s">
        <v>1070</v>
      </c>
      <c r="B99" s="387" t="s">
        <v>3</v>
      </c>
      <c r="C99" s="117"/>
      <c r="D99" s="391">
        <v>128</v>
      </c>
      <c r="E99" s="117" t="s">
        <v>845</v>
      </c>
    </row>
    <row r="100" spans="1:5" x14ac:dyDescent="0.2">
      <c r="A100" s="384" t="s">
        <v>1578</v>
      </c>
      <c r="B100" s="387" t="s">
        <v>4</v>
      </c>
      <c r="C100" s="117"/>
      <c r="D100" s="391">
        <v>146</v>
      </c>
      <c r="E100" s="117" t="s">
        <v>845</v>
      </c>
    </row>
    <row r="101" spans="1:5" x14ac:dyDescent="0.2">
      <c r="A101" s="384" t="s">
        <v>1579</v>
      </c>
      <c r="B101" s="387" t="s">
        <v>5</v>
      </c>
      <c r="C101" s="117"/>
      <c r="D101" s="391">
        <v>198</v>
      </c>
      <c r="E101" s="117" t="s">
        <v>845</v>
      </c>
    </row>
    <row r="102" spans="1:5" x14ac:dyDescent="0.2">
      <c r="A102" s="384" t="s">
        <v>1580</v>
      </c>
      <c r="B102" s="387" t="s">
        <v>6</v>
      </c>
      <c r="C102" s="117"/>
      <c r="D102" s="391">
        <v>307</v>
      </c>
      <c r="E102" s="117" t="s">
        <v>845</v>
      </c>
    </row>
    <row r="103" spans="1:5" x14ac:dyDescent="0.2">
      <c r="A103" s="384" t="s">
        <v>1581</v>
      </c>
      <c r="B103" s="387" t="s">
        <v>7</v>
      </c>
      <c r="C103" s="117"/>
      <c r="D103" s="391">
        <v>395</v>
      </c>
      <c r="E103" s="117" t="s">
        <v>845</v>
      </c>
    </row>
    <row r="104" spans="1:5" x14ac:dyDescent="0.2">
      <c r="A104" s="384" t="s">
        <v>1582</v>
      </c>
      <c r="B104" s="387" t="s">
        <v>8</v>
      </c>
      <c r="C104" s="117"/>
      <c r="D104" s="391">
        <v>468</v>
      </c>
      <c r="E104" s="117" t="s">
        <v>845</v>
      </c>
    </row>
    <row r="105" spans="1:5" x14ac:dyDescent="0.2">
      <c r="A105" s="384" t="s">
        <v>1583</v>
      </c>
      <c r="B105" s="387" t="s">
        <v>9</v>
      </c>
      <c r="C105" s="117"/>
      <c r="D105" s="391">
        <v>558</v>
      </c>
      <c r="E105" s="117" t="s">
        <v>845</v>
      </c>
    </row>
    <row r="106" spans="1:5" x14ac:dyDescent="0.2">
      <c r="A106" s="384" t="s">
        <v>1584</v>
      </c>
      <c r="B106" s="387" t="s">
        <v>10</v>
      </c>
      <c r="C106" s="117"/>
      <c r="D106" s="391">
        <v>982</v>
      </c>
      <c r="E106" s="117" t="s">
        <v>845</v>
      </c>
    </row>
    <row r="107" spans="1:5" x14ac:dyDescent="0.2">
      <c r="A107" s="384" t="s">
        <v>1585</v>
      </c>
      <c r="B107" s="387" t="s">
        <v>11</v>
      </c>
      <c r="C107" s="117"/>
      <c r="D107" s="391">
        <v>1082</v>
      </c>
      <c r="E107" s="117" t="s">
        <v>845</v>
      </c>
    </row>
    <row r="108" spans="1:5" x14ac:dyDescent="0.2">
      <c r="A108" s="384" t="s">
        <v>1586</v>
      </c>
      <c r="B108" s="387" t="s">
        <v>12</v>
      </c>
      <c r="C108" s="117"/>
      <c r="D108" s="391">
        <v>1320</v>
      </c>
      <c r="E108" s="117" t="s">
        <v>845</v>
      </c>
    </row>
    <row r="109" spans="1:5" x14ac:dyDescent="0.2">
      <c r="A109" s="384" t="s">
        <v>1587</v>
      </c>
      <c r="B109" s="387" t="s">
        <v>13</v>
      </c>
      <c r="C109" s="117"/>
      <c r="D109" s="391">
        <v>1650</v>
      </c>
      <c r="E109" s="117" t="s">
        <v>845</v>
      </c>
    </row>
    <row r="110" spans="1:5" x14ac:dyDescent="0.2">
      <c r="A110" s="384" t="s">
        <v>1588</v>
      </c>
      <c r="B110" s="387" t="s">
        <v>14</v>
      </c>
      <c r="C110" s="117"/>
      <c r="D110" s="391">
        <v>1940</v>
      </c>
      <c r="E110" s="117" t="s">
        <v>845</v>
      </c>
    </row>
    <row r="111" spans="1:5" x14ac:dyDescent="0.2">
      <c r="A111" s="384" t="s">
        <v>1072</v>
      </c>
      <c r="B111" s="387" t="s">
        <v>15</v>
      </c>
      <c r="C111" s="117"/>
      <c r="D111" s="391">
        <v>98</v>
      </c>
      <c r="E111" s="117" t="s">
        <v>845</v>
      </c>
    </row>
    <row r="112" spans="1:5" x14ac:dyDescent="0.2">
      <c r="A112" s="384" t="s">
        <v>1073</v>
      </c>
      <c r="B112" s="387" t="s">
        <v>16</v>
      </c>
      <c r="C112" s="117"/>
      <c r="D112" s="391">
        <v>121</v>
      </c>
      <c r="E112" s="117" t="s">
        <v>845</v>
      </c>
    </row>
    <row r="113" spans="1:5" x14ac:dyDescent="0.2">
      <c r="A113" s="384" t="s">
        <v>1589</v>
      </c>
      <c r="B113" s="387" t="s">
        <v>17</v>
      </c>
      <c r="C113" s="117"/>
      <c r="D113" s="391">
        <v>126</v>
      </c>
      <c r="E113" s="117" t="s">
        <v>845</v>
      </c>
    </row>
    <row r="114" spans="1:5" x14ac:dyDescent="0.2">
      <c r="A114" s="384" t="s">
        <v>1591</v>
      </c>
      <c r="B114" s="387" t="s">
        <v>18</v>
      </c>
      <c r="C114" s="117"/>
      <c r="D114" s="391">
        <v>281</v>
      </c>
      <c r="E114" s="117" t="s">
        <v>845</v>
      </c>
    </row>
    <row r="115" spans="1:5" x14ac:dyDescent="0.2">
      <c r="A115" s="384" t="s">
        <v>1590</v>
      </c>
      <c r="B115" s="387" t="s">
        <v>19</v>
      </c>
      <c r="C115" s="117"/>
      <c r="D115" s="391">
        <v>181</v>
      </c>
      <c r="E115" s="117" t="s">
        <v>845</v>
      </c>
    </row>
    <row r="116" spans="1:5" x14ac:dyDescent="0.2">
      <c r="A116" s="384" t="s">
        <v>1592</v>
      </c>
      <c r="B116" s="387" t="s">
        <v>20</v>
      </c>
      <c r="C116" s="117"/>
      <c r="D116" s="391">
        <v>257</v>
      </c>
      <c r="E116" s="117" t="s">
        <v>845</v>
      </c>
    </row>
    <row r="117" spans="1:5" x14ac:dyDescent="0.2">
      <c r="A117" s="384" t="s">
        <v>1593</v>
      </c>
      <c r="B117" s="387" t="s">
        <v>21</v>
      </c>
      <c r="C117" s="117"/>
      <c r="D117" s="391">
        <v>258</v>
      </c>
      <c r="E117" s="117" t="s">
        <v>845</v>
      </c>
    </row>
    <row r="118" spans="1:5" x14ac:dyDescent="0.2">
      <c r="A118" s="384" t="s">
        <v>1594</v>
      </c>
      <c r="B118" s="387" t="s">
        <v>22</v>
      </c>
      <c r="C118" s="117"/>
      <c r="D118" s="391">
        <v>286</v>
      </c>
      <c r="E118" s="117" t="s">
        <v>845</v>
      </c>
    </row>
    <row r="119" spans="1:5" x14ac:dyDescent="0.2">
      <c r="A119" s="384" t="s">
        <v>1074</v>
      </c>
      <c r="B119" s="387" t="s">
        <v>23</v>
      </c>
      <c r="C119" s="117"/>
      <c r="D119" s="391">
        <v>116</v>
      </c>
      <c r="E119" s="117" t="s">
        <v>845</v>
      </c>
    </row>
    <row r="120" spans="1:5" x14ac:dyDescent="0.2">
      <c r="A120" s="384" t="s">
        <v>1065</v>
      </c>
      <c r="B120" s="387" t="s">
        <v>24</v>
      </c>
      <c r="C120" s="117"/>
      <c r="D120" s="391">
        <v>64</v>
      </c>
      <c r="E120" s="117" t="s">
        <v>845</v>
      </c>
    </row>
    <row r="121" spans="1:5" x14ac:dyDescent="0.2">
      <c r="A121" s="384" t="s">
        <v>1075</v>
      </c>
      <c r="B121" s="387" t="s">
        <v>25</v>
      </c>
      <c r="C121" s="117"/>
      <c r="D121" s="391">
        <v>283</v>
      </c>
      <c r="E121" s="117" t="s">
        <v>845</v>
      </c>
    </row>
    <row r="122" spans="1:5" x14ac:dyDescent="0.2">
      <c r="A122" s="382" t="s">
        <v>1174</v>
      </c>
      <c r="B122" s="387" t="s">
        <v>26</v>
      </c>
      <c r="C122" s="117"/>
      <c r="D122" s="391">
        <v>6.5</v>
      </c>
      <c r="E122" s="117" t="s">
        <v>845</v>
      </c>
    </row>
    <row r="123" spans="1:5" x14ac:dyDescent="0.2">
      <c r="A123" s="382" t="s">
        <v>1201</v>
      </c>
      <c r="B123" s="387" t="s">
        <v>27</v>
      </c>
      <c r="C123" s="117"/>
      <c r="D123" s="391">
        <v>7.8</v>
      </c>
      <c r="E123" s="117" t="s">
        <v>845</v>
      </c>
    </row>
    <row r="124" spans="1:5" x14ac:dyDescent="0.2">
      <c r="A124" s="382" t="s">
        <v>1205</v>
      </c>
      <c r="B124" s="387" t="s">
        <v>28</v>
      </c>
      <c r="C124" s="117"/>
      <c r="D124" s="391">
        <v>7.75</v>
      </c>
      <c r="E124" s="117" t="s">
        <v>845</v>
      </c>
    </row>
    <row r="125" spans="1:5" x14ac:dyDescent="0.2">
      <c r="A125" s="382" t="s">
        <v>1202</v>
      </c>
      <c r="B125" s="387" t="s">
        <v>29</v>
      </c>
      <c r="C125" s="117"/>
      <c r="D125" s="391">
        <v>11.3</v>
      </c>
      <c r="E125" s="117" t="s">
        <v>845</v>
      </c>
    </row>
    <row r="126" spans="1:5" x14ac:dyDescent="0.2">
      <c r="A126" s="382" t="s">
        <v>1257</v>
      </c>
      <c r="B126" s="387" t="s">
        <v>30</v>
      </c>
      <c r="C126" s="117"/>
      <c r="D126" s="391">
        <v>12.9</v>
      </c>
      <c r="E126" s="117" t="s">
        <v>845</v>
      </c>
    </row>
    <row r="127" spans="1:5" x14ac:dyDescent="0.2">
      <c r="A127" s="382" t="s">
        <v>1231</v>
      </c>
      <c r="B127" s="387" t="s">
        <v>179</v>
      </c>
      <c r="C127" s="117"/>
      <c r="D127" s="391">
        <v>3.1</v>
      </c>
      <c r="E127" s="117" t="s">
        <v>845</v>
      </c>
    </row>
    <row r="128" spans="1:5" x14ac:dyDescent="0.2">
      <c r="A128" s="382" t="s">
        <v>1322</v>
      </c>
      <c r="B128" s="387" t="s">
        <v>31</v>
      </c>
      <c r="C128" s="117"/>
      <c r="D128" s="391">
        <v>1.5</v>
      </c>
      <c r="E128" s="117" t="s">
        <v>845</v>
      </c>
    </row>
    <row r="129" spans="1:5" x14ac:dyDescent="0.2">
      <c r="A129" s="382" t="s">
        <v>1310</v>
      </c>
      <c r="B129" s="387" t="s">
        <v>32</v>
      </c>
      <c r="C129" s="117"/>
      <c r="D129" s="391">
        <v>1.6</v>
      </c>
      <c r="E129" s="117" t="s">
        <v>845</v>
      </c>
    </row>
    <row r="130" spans="1:5" x14ac:dyDescent="0.2">
      <c r="A130" s="382" t="s">
        <v>1281</v>
      </c>
      <c r="B130" s="387" t="s">
        <v>33</v>
      </c>
      <c r="C130" s="117"/>
      <c r="D130" s="391">
        <v>2.7</v>
      </c>
      <c r="E130" s="117" t="s">
        <v>845</v>
      </c>
    </row>
    <row r="131" spans="1:5" x14ac:dyDescent="0.2">
      <c r="A131" s="382" t="s">
        <v>1237</v>
      </c>
      <c r="B131" s="387" t="s">
        <v>34</v>
      </c>
      <c r="C131" s="117"/>
      <c r="D131" s="391">
        <v>3.7</v>
      </c>
      <c r="E131" s="117" t="s">
        <v>845</v>
      </c>
    </row>
    <row r="132" spans="1:5" x14ac:dyDescent="0.2">
      <c r="A132" s="382" t="s">
        <v>1311</v>
      </c>
      <c r="B132" s="387" t="s">
        <v>35</v>
      </c>
      <c r="C132" s="117"/>
      <c r="D132" s="391">
        <v>1.6</v>
      </c>
      <c r="E132" s="117" t="s">
        <v>845</v>
      </c>
    </row>
    <row r="133" spans="1:5" x14ac:dyDescent="0.2">
      <c r="A133" s="382" t="s">
        <v>1784</v>
      </c>
      <c r="B133" s="387" t="s">
        <v>1639</v>
      </c>
      <c r="C133" s="117"/>
      <c r="D133" s="391">
        <v>6.5</v>
      </c>
      <c r="E133" s="117" t="s">
        <v>845</v>
      </c>
    </row>
    <row r="134" spans="1:5" x14ac:dyDescent="0.2">
      <c r="A134" s="382" t="s">
        <v>1785</v>
      </c>
      <c r="B134" s="387" t="s">
        <v>1786</v>
      </c>
      <c r="C134" s="117"/>
      <c r="D134" s="391">
        <v>6.75</v>
      </c>
      <c r="E134" s="117" t="s">
        <v>845</v>
      </c>
    </row>
    <row r="135" spans="1:5" x14ac:dyDescent="0.2">
      <c r="A135" s="382" t="s">
        <v>1171</v>
      </c>
      <c r="B135" s="387" t="s">
        <v>36</v>
      </c>
      <c r="C135" s="117"/>
      <c r="D135" s="391">
        <v>5</v>
      </c>
      <c r="E135" s="117" t="s">
        <v>845</v>
      </c>
    </row>
    <row r="136" spans="1:5" x14ac:dyDescent="0.2">
      <c r="A136" s="382" t="s">
        <v>1321</v>
      </c>
      <c r="B136" s="387" t="s">
        <v>37</v>
      </c>
      <c r="C136" s="117"/>
      <c r="D136" s="391">
        <v>12.1</v>
      </c>
      <c r="E136" s="117" t="s">
        <v>845</v>
      </c>
    </row>
    <row r="137" spans="1:5" x14ac:dyDescent="0.2">
      <c r="A137" s="382" t="s">
        <v>1252</v>
      </c>
      <c r="B137" s="387" t="s">
        <v>38</v>
      </c>
      <c r="C137" s="117"/>
      <c r="D137" s="391">
        <v>170</v>
      </c>
      <c r="E137" s="117" t="s">
        <v>845</v>
      </c>
    </row>
    <row r="138" spans="1:5" x14ac:dyDescent="0.2">
      <c r="A138" s="382" t="s">
        <v>1309</v>
      </c>
      <c r="B138" s="387" t="s">
        <v>39</v>
      </c>
      <c r="C138" s="117"/>
      <c r="D138" s="391">
        <v>6.75</v>
      </c>
      <c r="E138" s="117" t="s">
        <v>845</v>
      </c>
    </row>
    <row r="139" spans="1:5" x14ac:dyDescent="0.2">
      <c r="A139" s="382" t="s">
        <v>1242</v>
      </c>
      <c r="B139" s="387" t="s">
        <v>40</v>
      </c>
      <c r="C139" s="117"/>
      <c r="D139" s="391">
        <v>159.30000000000001</v>
      </c>
      <c r="E139" s="117" t="s">
        <v>845</v>
      </c>
    </row>
    <row r="140" spans="1:5" x14ac:dyDescent="0.2">
      <c r="A140" s="382" t="s">
        <v>1255</v>
      </c>
      <c r="B140" s="387" t="s">
        <v>41</v>
      </c>
      <c r="C140" s="117"/>
      <c r="D140" s="391">
        <v>141</v>
      </c>
      <c r="E140" s="117" t="s">
        <v>845</v>
      </c>
    </row>
    <row r="141" spans="1:5" x14ac:dyDescent="0.2">
      <c r="A141" s="382" t="s">
        <v>1262</v>
      </c>
      <c r="B141" s="387" t="s">
        <v>42</v>
      </c>
      <c r="C141" s="117"/>
      <c r="D141" s="391">
        <v>200</v>
      </c>
      <c r="E141" s="117" t="s">
        <v>845</v>
      </c>
    </row>
    <row r="142" spans="1:5" x14ac:dyDescent="0.2">
      <c r="A142" s="382" t="s">
        <v>1264</v>
      </c>
      <c r="B142" s="387" t="s">
        <v>43</v>
      </c>
      <c r="C142" s="117"/>
      <c r="D142" s="391">
        <v>220</v>
      </c>
      <c r="E142" s="117" t="s">
        <v>845</v>
      </c>
    </row>
    <row r="143" spans="1:5" x14ac:dyDescent="0.2">
      <c r="A143" s="382" t="s">
        <v>1270</v>
      </c>
      <c r="B143" s="387" t="s">
        <v>1781</v>
      </c>
      <c r="C143" s="117"/>
      <c r="D143" s="391">
        <v>5.2</v>
      </c>
      <c r="E143" s="117" t="s">
        <v>845</v>
      </c>
    </row>
    <row r="144" spans="1:5" x14ac:dyDescent="0.2">
      <c r="A144" s="382" t="s">
        <v>1280</v>
      </c>
      <c r="B144" s="387" t="s">
        <v>44</v>
      </c>
      <c r="C144" s="117"/>
      <c r="D144" s="391">
        <v>18.399999999999999</v>
      </c>
      <c r="E144" s="117" t="s">
        <v>845</v>
      </c>
    </row>
    <row r="145" spans="1:5" x14ac:dyDescent="0.2">
      <c r="A145" s="382" t="s">
        <v>1312</v>
      </c>
      <c r="B145" s="387" t="s">
        <v>45</v>
      </c>
      <c r="C145" s="117"/>
      <c r="D145" s="391">
        <v>14</v>
      </c>
      <c r="E145" s="117" t="s">
        <v>845</v>
      </c>
    </row>
    <row r="146" spans="1:5" x14ac:dyDescent="0.2">
      <c r="A146" s="382" t="s">
        <v>1313</v>
      </c>
      <c r="B146" s="387" t="s">
        <v>46</v>
      </c>
      <c r="C146" s="117"/>
      <c r="D146" s="391">
        <v>17.5</v>
      </c>
      <c r="E146" s="117" t="s">
        <v>845</v>
      </c>
    </row>
    <row r="147" spans="1:5" x14ac:dyDescent="0.2">
      <c r="A147" s="382" t="s">
        <v>1314</v>
      </c>
      <c r="B147" s="387" t="s">
        <v>47</v>
      </c>
      <c r="C147" s="117"/>
      <c r="D147" s="391">
        <v>23</v>
      </c>
      <c r="E147" s="117" t="s">
        <v>845</v>
      </c>
    </row>
    <row r="148" spans="1:5" x14ac:dyDescent="0.2">
      <c r="A148" s="382" t="s">
        <v>1315</v>
      </c>
      <c r="B148" s="387" t="s">
        <v>48</v>
      </c>
      <c r="C148" s="117"/>
      <c r="D148" s="391">
        <v>22</v>
      </c>
      <c r="E148" s="117" t="s">
        <v>845</v>
      </c>
    </row>
    <row r="149" spans="1:5" x14ac:dyDescent="0.2">
      <c r="A149" s="384" t="s">
        <v>1112</v>
      </c>
      <c r="B149" s="387" t="s">
        <v>49</v>
      </c>
      <c r="C149" s="117"/>
      <c r="D149" s="391">
        <v>32.9</v>
      </c>
      <c r="E149" s="117" t="s">
        <v>846</v>
      </c>
    </row>
    <row r="150" spans="1:5" x14ac:dyDescent="0.2">
      <c r="A150" s="382" t="s">
        <v>1203</v>
      </c>
      <c r="B150" s="387" t="s">
        <v>50</v>
      </c>
      <c r="C150" s="117"/>
      <c r="D150" s="391">
        <v>26.75</v>
      </c>
      <c r="E150" s="117" t="s">
        <v>846</v>
      </c>
    </row>
    <row r="151" spans="1:5" x14ac:dyDescent="0.2">
      <c r="A151" s="384" t="s">
        <v>1113</v>
      </c>
      <c r="B151" s="387" t="s">
        <v>51</v>
      </c>
      <c r="C151" s="117"/>
      <c r="D151" s="391">
        <v>59.8</v>
      </c>
      <c r="E151" s="117" t="s">
        <v>846</v>
      </c>
    </row>
    <row r="152" spans="1:5" x14ac:dyDescent="0.2">
      <c r="A152" s="384" t="s">
        <v>1114</v>
      </c>
      <c r="B152" s="387" t="s">
        <v>52</v>
      </c>
      <c r="C152" s="117"/>
      <c r="D152" s="391">
        <v>91</v>
      </c>
      <c r="E152" s="117" t="s">
        <v>846</v>
      </c>
    </row>
    <row r="153" spans="1:5" x14ac:dyDescent="0.2">
      <c r="A153" s="384" t="s">
        <v>2226</v>
      </c>
      <c r="B153" s="550" t="s">
        <v>2227</v>
      </c>
      <c r="C153" s="117"/>
      <c r="D153" s="391">
        <v>32.9</v>
      </c>
      <c r="E153" s="117" t="s">
        <v>846</v>
      </c>
    </row>
    <row r="154" spans="1:5" x14ac:dyDescent="0.2">
      <c r="A154" s="384" t="s">
        <v>1369</v>
      </c>
      <c r="B154" s="387" t="s">
        <v>1370</v>
      </c>
      <c r="C154" s="117"/>
      <c r="D154" s="391">
        <v>22</v>
      </c>
      <c r="E154" s="117" t="s">
        <v>846</v>
      </c>
    </row>
    <row r="155" spans="1:5" x14ac:dyDescent="0.2">
      <c r="A155" s="384" t="s">
        <v>1274</v>
      </c>
      <c r="B155" s="386" t="s">
        <v>518</v>
      </c>
      <c r="C155" s="117"/>
      <c r="D155" s="392">
        <v>5</v>
      </c>
      <c r="E155" s="117" t="s">
        <v>845</v>
      </c>
    </row>
    <row r="156" spans="1:5" x14ac:dyDescent="0.2">
      <c r="A156" s="384" t="s">
        <v>519</v>
      </c>
      <c r="B156" s="386" t="s">
        <v>520</v>
      </c>
      <c r="C156" s="117"/>
      <c r="D156" s="392">
        <v>2.5</v>
      </c>
      <c r="E156" s="117" t="s">
        <v>845</v>
      </c>
    </row>
    <row r="157" spans="1:5" x14ac:dyDescent="0.2">
      <c r="A157" s="384" t="s">
        <v>521</v>
      </c>
      <c r="B157" s="386" t="s">
        <v>520</v>
      </c>
      <c r="C157" s="117"/>
      <c r="D157" s="392">
        <v>2.5</v>
      </c>
      <c r="E157" s="117" t="s">
        <v>845</v>
      </c>
    </row>
    <row r="158" spans="1:5" x14ac:dyDescent="0.2">
      <c r="A158" s="384" t="s">
        <v>1244</v>
      </c>
      <c r="B158" s="386" t="s">
        <v>518</v>
      </c>
      <c r="C158" s="117"/>
      <c r="D158" s="392">
        <v>5</v>
      </c>
      <c r="E158" s="117" t="s">
        <v>845</v>
      </c>
    </row>
    <row r="159" spans="1:5" x14ac:dyDescent="0.2">
      <c r="A159" s="384" t="s">
        <v>522</v>
      </c>
      <c r="B159" s="386" t="s">
        <v>523</v>
      </c>
      <c r="C159" s="117"/>
      <c r="D159" s="392">
        <v>12</v>
      </c>
      <c r="E159" s="117" t="s">
        <v>845</v>
      </c>
    </row>
    <row r="160" spans="1:5" x14ac:dyDescent="0.2">
      <c r="A160" s="384" t="s">
        <v>524</v>
      </c>
      <c r="B160" s="386" t="s">
        <v>523</v>
      </c>
      <c r="C160" s="117"/>
      <c r="D160" s="392">
        <v>12</v>
      </c>
      <c r="E160" s="117" t="s">
        <v>845</v>
      </c>
    </row>
    <row r="161" spans="1:5" x14ac:dyDescent="0.2">
      <c r="A161" s="384" t="s">
        <v>1149</v>
      </c>
      <c r="B161" s="387" t="s">
        <v>53</v>
      </c>
      <c r="C161" s="117"/>
      <c r="D161" s="391">
        <v>9.6999999999999993</v>
      </c>
      <c r="E161" s="117" t="s">
        <v>846</v>
      </c>
    </row>
    <row r="162" spans="1:5" x14ac:dyDescent="0.2">
      <c r="A162" s="384" t="s">
        <v>1147</v>
      </c>
      <c r="B162" s="387" t="s">
        <v>54</v>
      </c>
      <c r="C162" s="117"/>
      <c r="D162" s="391">
        <v>12.9</v>
      </c>
      <c r="E162" s="117" t="s">
        <v>846</v>
      </c>
    </row>
    <row r="163" spans="1:5" x14ac:dyDescent="0.2">
      <c r="A163" s="384" t="s">
        <v>1148</v>
      </c>
      <c r="B163" s="387" t="s">
        <v>55</v>
      </c>
      <c r="C163" s="117"/>
      <c r="D163" s="391">
        <v>14.9</v>
      </c>
      <c r="E163" s="117" t="s">
        <v>846</v>
      </c>
    </row>
    <row r="164" spans="1:5" x14ac:dyDescent="0.2">
      <c r="A164" s="382" t="s">
        <v>1207</v>
      </c>
      <c r="B164" s="387" t="s">
        <v>56</v>
      </c>
      <c r="C164" s="117"/>
      <c r="D164" s="391">
        <v>10.6</v>
      </c>
      <c r="E164" s="117" t="s">
        <v>846</v>
      </c>
    </row>
    <row r="165" spans="1:5" x14ac:dyDescent="0.2">
      <c r="A165" s="382" t="s">
        <v>1209</v>
      </c>
      <c r="B165" s="387" t="s">
        <v>57</v>
      </c>
      <c r="C165" s="117"/>
      <c r="D165" s="391">
        <v>9.8000000000000007</v>
      </c>
      <c r="E165" s="117" t="s">
        <v>846</v>
      </c>
    </row>
    <row r="166" spans="1:5" x14ac:dyDescent="0.2">
      <c r="A166" s="382" t="s">
        <v>1273</v>
      </c>
      <c r="B166" s="387" t="s">
        <v>58</v>
      </c>
      <c r="C166" s="117"/>
      <c r="D166" s="391">
        <v>22</v>
      </c>
      <c r="E166" s="117" t="s">
        <v>846</v>
      </c>
    </row>
    <row r="167" spans="1:5" x14ac:dyDescent="0.2">
      <c r="A167" s="385" t="s">
        <v>1254</v>
      </c>
      <c r="B167" s="387" t="s">
        <v>59</v>
      </c>
      <c r="C167" s="117"/>
      <c r="D167" s="391">
        <v>40.6</v>
      </c>
      <c r="E167" s="117" t="s">
        <v>846</v>
      </c>
    </row>
    <row r="168" spans="1:5" x14ac:dyDescent="0.2">
      <c r="A168" s="382" t="s">
        <v>1253</v>
      </c>
      <c r="B168" s="387" t="s">
        <v>60</v>
      </c>
      <c r="C168" s="117"/>
      <c r="D168" s="391">
        <v>18.899999999999999</v>
      </c>
      <c r="E168" s="117" t="s">
        <v>846</v>
      </c>
    </row>
    <row r="169" spans="1:5" x14ac:dyDescent="0.2">
      <c r="A169" s="384" t="s">
        <v>1276</v>
      </c>
      <c r="B169" s="386" t="s">
        <v>525</v>
      </c>
      <c r="C169" s="117"/>
      <c r="D169" s="392">
        <v>1.25</v>
      </c>
      <c r="E169" s="117" t="s">
        <v>845</v>
      </c>
    </row>
    <row r="170" spans="1:5" x14ac:dyDescent="0.2">
      <c r="A170" s="384" t="s">
        <v>1494</v>
      </c>
      <c r="B170" s="387" t="s">
        <v>415</v>
      </c>
      <c r="C170" s="117"/>
      <c r="D170" s="391">
        <v>20</v>
      </c>
      <c r="E170" s="117" t="s">
        <v>845</v>
      </c>
    </row>
    <row r="171" spans="1:5" x14ac:dyDescent="0.2">
      <c r="A171" s="382" t="s">
        <v>1186</v>
      </c>
      <c r="B171" s="387" t="s">
        <v>416</v>
      </c>
      <c r="C171" s="117"/>
      <c r="D171" s="392">
        <v>20</v>
      </c>
      <c r="E171" s="117" t="s">
        <v>845</v>
      </c>
    </row>
    <row r="172" spans="1:5" x14ac:dyDescent="0.2">
      <c r="A172" s="382" t="s">
        <v>1187</v>
      </c>
      <c r="B172" s="387" t="s">
        <v>417</v>
      </c>
      <c r="C172" s="117"/>
      <c r="D172" s="392">
        <v>20</v>
      </c>
      <c r="E172" s="117" t="s">
        <v>845</v>
      </c>
    </row>
    <row r="173" spans="1:5" x14ac:dyDescent="0.2">
      <c r="A173" s="382" t="s">
        <v>1189</v>
      </c>
      <c r="B173" s="387" t="s">
        <v>419</v>
      </c>
      <c r="C173" s="117"/>
      <c r="D173" s="392">
        <v>20</v>
      </c>
      <c r="E173" s="117" t="s">
        <v>845</v>
      </c>
    </row>
    <row r="174" spans="1:5" x14ac:dyDescent="0.2">
      <c r="A174" s="382" t="s">
        <v>1190</v>
      </c>
      <c r="B174" s="387" t="s">
        <v>420</v>
      </c>
      <c r="C174" s="117"/>
      <c r="D174" s="392">
        <v>25</v>
      </c>
      <c r="E174" s="117" t="s">
        <v>845</v>
      </c>
    </row>
    <row r="175" spans="1:5" x14ac:dyDescent="0.2">
      <c r="A175" s="382" t="s">
        <v>1192</v>
      </c>
      <c r="B175" s="387" t="s">
        <v>422</v>
      </c>
      <c r="C175" s="117"/>
      <c r="D175" s="392">
        <v>25</v>
      </c>
      <c r="E175" s="117" t="s">
        <v>845</v>
      </c>
    </row>
    <row r="176" spans="1:5" x14ac:dyDescent="0.2">
      <c r="A176" s="382" t="s">
        <v>1193</v>
      </c>
      <c r="B176" s="387" t="s">
        <v>424</v>
      </c>
      <c r="C176" s="117"/>
      <c r="D176" s="392">
        <v>30</v>
      </c>
      <c r="E176" s="117" t="s">
        <v>845</v>
      </c>
    </row>
    <row r="177" spans="1:5" x14ac:dyDescent="0.2">
      <c r="A177" s="382" t="s">
        <v>1194</v>
      </c>
      <c r="B177" s="387" t="s">
        <v>425</v>
      </c>
      <c r="C177" s="117"/>
      <c r="D177" s="392">
        <v>30</v>
      </c>
      <c r="E177" s="117" t="s">
        <v>845</v>
      </c>
    </row>
    <row r="178" spans="1:5" x14ac:dyDescent="0.2">
      <c r="A178" s="382" t="s">
        <v>1191</v>
      </c>
      <c r="B178" s="387" t="s">
        <v>421</v>
      </c>
      <c r="C178" s="117"/>
      <c r="D178" s="392">
        <v>30</v>
      </c>
      <c r="E178" s="117" t="s">
        <v>845</v>
      </c>
    </row>
    <row r="179" spans="1:5" x14ac:dyDescent="0.2">
      <c r="A179" s="382" t="s">
        <v>1195</v>
      </c>
      <c r="B179" s="387" t="s">
        <v>423</v>
      </c>
      <c r="C179" s="117"/>
      <c r="D179" s="392">
        <v>37</v>
      </c>
      <c r="E179" s="117" t="s">
        <v>845</v>
      </c>
    </row>
    <row r="180" spans="1:5" x14ac:dyDescent="0.2">
      <c r="A180" s="382" t="s">
        <v>1188</v>
      </c>
      <c r="B180" s="387" t="s">
        <v>418</v>
      </c>
      <c r="C180" s="117"/>
      <c r="D180" s="392">
        <v>20</v>
      </c>
      <c r="E180" s="117" t="s">
        <v>845</v>
      </c>
    </row>
    <row r="181" spans="1:5" x14ac:dyDescent="0.2">
      <c r="A181" s="382" t="s">
        <v>1238</v>
      </c>
      <c r="B181" s="387" t="s">
        <v>61</v>
      </c>
      <c r="C181" s="117"/>
      <c r="D181" s="391">
        <v>8.15</v>
      </c>
      <c r="E181" s="117" t="s">
        <v>845</v>
      </c>
    </row>
    <row r="182" spans="1:5" x14ac:dyDescent="0.2">
      <c r="A182" s="384" t="s">
        <v>1619</v>
      </c>
      <c r="B182" s="387" t="s">
        <v>62</v>
      </c>
      <c r="C182" s="117"/>
      <c r="D182" s="391">
        <v>11.95</v>
      </c>
      <c r="E182" s="117" t="s">
        <v>845</v>
      </c>
    </row>
    <row r="183" spans="1:5" x14ac:dyDescent="0.2">
      <c r="A183" s="384" t="s">
        <v>1665</v>
      </c>
      <c r="B183" s="387" t="s">
        <v>63</v>
      </c>
      <c r="C183" s="117"/>
      <c r="D183" s="391">
        <v>12.8</v>
      </c>
      <c r="E183" s="117" t="s">
        <v>845</v>
      </c>
    </row>
    <row r="184" spans="1:5" x14ac:dyDescent="0.2">
      <c r="A184" s="384" t="s">
        <v>1666</v>
      </c>
      <c r="B184" s="387" t="s">
        <v>64</v>
      </c>
      <c r="C184" s="117"/>
      <c r="D184" s="391">
        <v>13.8</v>
      </c>
      <c r="E184" s="117" t="s">
        <v>845</v>
      </c>
    </row>
    <row r="185" spans="1:5" x14ac:dyDescent="0.2">
      <c r="A185" s="384" t="s">
        <v>1667</v>
      </c>
      <c r="B185" s="387" t="s">
        <v>77</v>
      </c>
      <c r="C185" s="117"/>
      <c r="D185" s="391">
        <v>18.25</v>
      </c>
      <c r="E185" s="117" t="s">
        <v>845</v>
      </c>
    </row>
    <row r="186" spans="1:5" x14ac:dyDescent="0.2">
      <c r="A186" s="384" t="s">
        <v>1668</v>
      </c>
      <c r="B186" s="387" t="s">
        <v>78</v>
      </c>
      <c r="C186" s="117"/>
      <c r="D186" s="391">
        <v>6.5</v>
      </c>
      <c r="E186" s="117" t="s">
        <v>845</v>
      </c>
    </row>
    <row r="187" spans="1:5" x14ac:dyDescent="0.2">
      <c r="A187" s="384" t="s">
        <v>1669</v>
      </c>
      <c r="B187" s="387" t="s">
        <v>79</v>
      </c>
      <c r="C187" s="117"/>
      <c r="D187" s="391">
        <v>7.5</v>
      </c>
      <c r="E187" s="117" t="s">
        <v>845</v>
      </c>
    </row>
    <row r="188" spans="1:5" x14ac:dyDescent="0.2">
      <c r="A188" s="384" t="s">
        <v>1670</v>
      </c>
      <c r="B188" s="387" t="s">
        <v>80</v>
      </c>
      <c r="C188" s="117"/>
      <c r="D188" s="391">
        <v>8</v>
      </c>
      <c r="E188" s="117" t="s">
        <v>845</v>
      </c>
    </row>
    <row r="189" spans="1:5" x14ac:dyDescent="0.2">
      <c r="A189" s="384" t="s">
        <v>1671</v>
      </c>
      <c r="B189" s="387" t="s">
        <v>81</v>
      </c>
      <c r="C189" s="117"/>
      <c r="D189" s="391">
        <v>9.75</v>
      </c>
      <c r="E189" s="117" t="s">
        <v>845</v>
      </c>
    </row>
    <row r="190" spans="1:5" x14ac:dyDescent="0.2">
      <c r="A190" s="384" t="s">
        <v>1672</v>
      </c>
      <c r="B190" s="387" t="s">
        <v>82</v>
      </c>
      <c r="C190" s="117"/>
      <c r="D190" s="391">
        <v>10.95</v>
      </c>
      <c r="E190" s="117" t="s">
        <v>845</v>
      </c>
    </row>
    <row r="191" spans="1:5" x14ac:dyDescent="0.2">
      <c r="A191" s="384" t="s">
        <v>1673</v>
      </c>
      <c r="B191" s="387" t="s">
        <v>83</v>
      </c>
      <c r="C191" s="117"/>
      <c r="D191" s="391">
        <v>12.5</v>
      </c>
      <c r="E191" s="117" t="s">
        <v>845</v>
      </c>
    </row>
    <row r="192" spans="1:5" x14ac:dyDescent="0.2">
      <c r="A192" s="384" t="s">
        <v>1674</v>
      </c>
      <c r="B192" s="387" t="s">
        <v>84</v>
      </c>
      <c r="C192" s="117"/>
      <c r="D192" s="391">
        <v>15.85</v>
      </c>
      <c r="E192" s="117" t="s">
        <v>845</v>
      </c>
    </row>
    <row r="193" spans="1:5" x14ac:dyDescent="0.2">
      <c r="A193" s="384" t="s">
        <v>1675</v>
      </c>
      <c r="B193" s="387" t="s">
        <v>85</v>
      </c>
      <c r="C193" s="117"/>
      <c r="D193" s="391">
        <v>64</v>
      </c>
      <c r="E193" s="117" t="s">
        <v>845</v>
      </c>
    </row>
    <row r="194" spans="1:5" x14ac:dyDescent="0.2">
      <c r="A194" s="384" t="s">
        <v>1676</v>
      </c>
      <c r="B194" s="387" t="s">
        <v>63</v>
      </c>
      <c r="C194" s="117"/>
      <c r="D194" s="391">
        <v>64</v>
      </c>
      <c r="E194" s="117" t="s">
        <v>845</v>
      </c>
    </row>
    <row r="195" spans="1:5" x14ac:dyDescent="0.2">
      <c r="A195" s="384" t="s">
        <v>1677</v>
      </c>
      <c r="B195" s="387" t="s">
        <v>86</v>
      </c>
      <c r="C195" s="117"/>
      <c r="D195" s="391">
        <v>28.9</v>
      </c>
      <c r="E195" s="117" t="s">
        <v>845</v>
      </c>
    </row>
    <row r="196" spans="1:5" x14ac:dyDescent="0.2">
      <c r="A196" s="384" t="s">
        <v>1678</v>
      </c>
      <c r="B196" s="387" t="s">
        <v>84</v>
      </c>
      <c r="C196" s="117"/>
      <c r="D196" s="391">
        <v>12.75</v>
      </c>
      <c r="E196" s="117" t="s">
        <v>845</v>
      </c>
    </row>
    <row r="197" spans="1:5" x14ac:dyDescent="0.2">
      <c r="A197" s="384" t="s">
        <v>1679</v>
      </c>
      <c r="B197" s="387" t="s">
        <v>85</v>
      </c>
      <c r="C197" s="117"/>
      <c r="D197" s="391">
        <v>17.149999999999999</v>
      </c>
      <c r="E197" s="117" t="s">
        <v>845</v>
      </c>
    </row>
    <row r="198" spans="1:5" x14ac:dyDescent="0.2">
      <c r="A198" s="384" t="s">
        <v>1368</v>
      </c>
      <c r="B198" s="387" t="s">
        <v>63</v>
      </c>
      <c r="C198" s="117"/>
      <c r="D198" s="391">
        <v>15.4</v>
      </c>
      <c r="E198" s="117" t="s">
        <v>845</v>
      </c>
    </row>
    <row r="199" spans="1:5" x14ac:dyDescent="0.2">
      <c r="A199" s="384" t="s">
        <v>1680</v>
      </c>
      <c r="B199" s="387" t="s">
        <v>61</v>
      </c>
      <c r="C199" s="117"/>
      <c r="D199" s="391">
        <v>11.4</v>
      </c>
      <c r="E199" s="117" t="s">
        <v>845</v>
      </c>
    </row>
    <row r="200" spans="1:5" x14ac:dyDescent="0.2">
      <c r="A200" s="384" t="s">
        <v>1681</v>
      </c>
      <c r="B200" s="387" t="s">
        <v>87</v>
      </c>
      <c r="C200" s="117"/>
      <c r="D200" s="391">
        <v>16</v>
      </c>
      <c r="E200" s="117" t="s">
        <v>845</v>
      </c>
    </row>
    <row r="201" spans="1:5" x14ac:dyDescent="0.2">
      <c r="A201" s="384" t="s">
        <v>1682</v>
      </c>
      <c r="B201" s="387" t="s">
        <v>88</v>
      </c>
      <c r="C201" s="117"/>
      <c r="D201" s="391">
        <v>17.3</v>
      </c>
      <c r="E201" s="117" t="s">
        <v>845</v>
      </c>
    </row>
    <row r="202" spans="1:5" x14ac:dyDescent="0.2">
      <c r="A202" s="384" t="s">
        <v>1683</v>
      </c>
      <c r="B202" s="387" t="s">
        <v>86</v>
      </c>
      <c r="C202" s="117"/>
      <c r="D202" s="391">
        <v>28</v>
      </c>
      <c r="E202" s="117" t="s">
        <v>845</v>
      </c>
    </row>
    <row r="203" spans="1:5" x14ac:dyDescent="0.2">
      <c r="A203" s="757" t="s">
        <v>2323</v>
      </c>
      <c r="B203" s="387" t="s">
        <v>2324</v>
      </c>
      <c r="C203" s="117"/>
      <c r="D203" s="391">
        <v>20</v>
      </c>
      <c r="E203" s="117" t="s">
        <v>845</v>
      </c>
    </row>
    <row r="204" spans="1:5" x14ac:dyDescent="0.2">
      <c r="A204" s="384" t="s">
        <v>1283</v>
      </c>
      <c r="B204" s="387" t="s">
        <v>89</v>
      </c>
      <c r="C204" s="117"/>
      <c r="D204" s="391">
        <v>3.5</v>
      </c>
      <c r="E204" s="117" t="s">
        <v>845</v>
      </c>
    </row>
    <row r="205" spans="1:5" x14ac:dyDescent="0.2">
      <c r="A205" s="382" t="s">
        <v>1246</v>
      </c>
      <c r="B205" s="387" t="s">
        <v>90</v>
      </c>
      <c r="C205" s="117"/>
      <c r="D205" s="391">
        <v>9.6</v>
      </c>
      <c r="E205" s="117" t="s">
        <v>845</v>
      </c>
    </row>
    <row r="206" spans="1:5" x14ac:dyDescent="0.2">
      <c r="A206" s="382" t="s">
        <v>1328</v>
      </c>
      <c r="B206" s="387" t="s">
        <v>91</v>
      </c>
      <c r="C206" s="117"/>
      <c r="D206" s="391">
        <v>6.4</v>
      </c>
      <c r="E206" s="117" t="s">
        <v>845</v>
      </c>
    </row>
    <row r="207" spans="1:5" x14ac:dyDescent="0.2">
      <c r="A207" s="382" t="s">
        <v>1285</v>
      </c>
      <c r="B207" s="387" t="s">
        <v>92</v>
      </c>
      <c r="C207" s="117"/>
      <c r="D207" s="391">
        <v>3.5</v>
      </c>
      <c r="E207" s="117" t="s">
        <v>845</v>
      </c>
    </row>
    <row r="208" spans="1:5" x14ac:dyDescent="0.2">
      <c r="A208" s="382" t="s">
        <v>1286</v>
      </c>
      <c r="B208" s="387" t="s">
        <v>93</v>
      </c>
      <c r="C208" s="117"/>
      <c r="D208" s="391">
        <v>3.5</v>
      </c>
      <c r="E208" s="117" t="s">
        <v>845</v>
      </c>
    </row>
    <row r="209" spans="1:5" x14ac:dyDescent="0.2">
      <c r="A209" s="382" t="s">
        <v>1268</v>
      </c>
      <c r="B209" s="387" t="s">
        <v>1640</v>
      </c>
      <c r="C209" s="117"/>
      <c r="D209" s="391">
        <v>5</v>
      </c>
      <c r="E209" s="117" t="s">
        <v>845</v>
      </c>
    </row>
    <row r="210" spans="1:5" x14ac:dyDescent="0.2">
      <c r="A210" s="384" t="s">
        <v>1001</v>
      </c>
      <c r="B210" s="387" t="s">
        <v>94</v>
      </c>
      <c r="C210" s="117"/>
      <c r="D210" s="391">
        <v>247</v>
      </c>
      <c r="E210" s="117" t="s">
        <v>845</v>
      </c>
    </row>
    <row r="211" spans="1:5" x14ac:dyDescent="0.2">
      <c r="A211" s="384" t="s">
        <v>1058</v>
      </c>
      <c r="B211" s="387" t="s">
        <v>95</v>
      </c>
      <c r="C211" s="117"/>
      <c r="D211" s="391">
        <v>205</v>
      </c>
      <c r="E211" s="117" t="s">
        <v>845</v>
      </c>
    </row>
    <row r="212" spans="1:5" x14ac:dyDescent="0.2">
      <c r="A212" s="384" t="s">
        <v>1062</v>
      </c>
      <c r="B212" s="387" t="s">
        <v>95</v>
      </c>
      <c r="C212" s="117"/>
      <c r="D212" s="391">
        <v>175</v>
      </c>
      <c r="E212" s="117" t="s">
        <v>845</v>
      </c>
    </row>
    <row r="213" spans="1:5" x14ac:dyDescent="0.2">
      <c r="A213" s="384" t="s">
        <v>1064</v>
      </c>
      <c r="B213" s="387" t="s">
        <v>96</v>
      </c>
      <c r="C213" s="117"/>
      <c r="D213" s="391">
        <v>210</v>
      </c>
      <c r="E213" s="117" t="s">
        <v>845</v>
      </c>
    </row>
    <row r="214" spans="1:5" x14ac:dyDescent="0.2">
      <c r="A214" s="384" t="s">
        <v>1060</v>
      </c>
      <c r="B214" s="387" t="s">
        <v>96</v>
      </c>
      <c r="C214" s="117"/>
      <c r="D214" s="391">
        <v>230</v>
      </c>
      <c r="E214" s="117" t="s">
        <v>845</v>
      </c>
    </row>
    <row r="215" spans="1:5" x14ac:dyDescent="0.2">
      <c r="A215" s="384" t="s">
        <v>1045</v>
      </c>
      <c r="B215" s="387" t="s">
        <v>97</v>
      </c>
      <c r="C215" s="117"/>
      <c r="D215" s="391">
        <v>170</v>
      </c>
      <c r="E215" s="117" t="s">
        <v>845</v>
      </c>
    </row>
    <row r="216" spans="1:5" x14ac:dyDescent="0.2">
      <c r="A216" s="384" t="s">
        <v>1046</v>
      </c>
      <c r="B216" s="387" t="s">
        <v>98</v>
      </c>
      <c r="C216" s="117"/>
      <c r="D216" s="391">
        <v>318</v>
      </c>
      <c r="E216" s="117" t="s">
        <v>845</v>
      </c>
    </row>
    <row r="217" spans="1:5" x14ac:dyDescent="0.2">
      <c r="A217" s="384" t="s">
        <v>1047</v>
      </c>
      <c r="B217" s="387" t="s">
        <v>101</v>
      </c>
      <c r="C217" s="117"/>
      <c r="D217" s="391">
        <v>322</v>
      </c>
      <c r="E217" s="117" t="s">
        <v>845</v>
      </c>
    </row>
    <row r="218" spans="1:5" x14ac:dyDescent="0.2">
      <c r="A218" s="384" t="s">
        <v>1048</v>
      </c>
      <c r="B218" s="387" t="s">
        <v>102</v>
      </c>
      <c r="C218" s="117"/>
      <c r="D218" s="391">
        <v>325</v>
      </c>
      <c r="E218" s="117" t="s">
        <v>845</v>
      </c>
    </row>
    <row r="219" spans="1:5" x14ac:dyDescent="0.2">
      <c r="A219" s="384" t="s">
        <v>1049</v>
      </c>
      <c r="B219" s="387" t="s">
        <v>103</v>
      </c>
      <c r="C219" s="117"/>
      <c r="D219" s="391">
        <v>430</v>
      </c>
      <c r="E219" s="117" t="s">
        <v>845</v>
      </c>
    </row>
    <row r="220" spans="1:5" x14ac:dyDescent="0.2">
      <c r="A220" s="384" t="s">
        <v>1050</v>
      </c>
      <c r="B220" s="387" t="s">
        <v>104</v>
      </c>
      <c r="C220" s="117"/>
      <c r="D220" s="391">
        <v>433</v>
      </c>
      <c r="E220" s="117" t="s">
        <v>845</v>
      </c>
    </row>
    <row r="221" spans="1:5" x14ac:dyDescent="0.2">
      <c r="A221" s="384" t="s">
        <v>1051</v>
      </c>
      <c r="B221" s="387" t="s">
        <v>105</v>
      </c>
      <c r="C221" s="117"/>
      <c r="D221" s="391">
        <v>435</v>
      </c>
      <c r="E221" s="117" t="s">
        <v>845</v>
      </c>
    </row>
    <row r="222" spans="1:5" x14ac:dyDescent="0.2">
      <c r="A222" s="384" t="s">
        <v>1052</v>
      </c>
      <c r="B222" s="387" t="s">
        <v>106</v>
      </c>
      <c r="C222" s="117"/>
      <c r="D222" s="391">
        <v>553</v>
      </c>
      <c r="E222" s="117" t="s">
        <v>845</v>
      </c>
    </row>
    <row r="223" spans="1:5" x14ac:dyDescent="0.2">
      <c r="A223" s="384" t="s">
        <v>1053</v>
      </c>
      <c r="B223" s="387" t="s">
        <v>107</v>
      </c>
      <c r="C223" s="117"/>
      <c r="D223" s="391">
        <v>559</v>
      </c>
      <c r="E223" s="117" t="s">
        <v>845</v>
      </c>
    </row>
    <row r="224" spans="1:5" x14ac:dyDescent="0.2">
      <c r="A224" s="384" t="s">
        <v>1054</v>
      </c>
      <c r="B224" s="387" t="s">
        <v>108</v>
      </c>
      <c r="C224" s="117"/>
      <c r="D224" s="391">
        <v>565</v>
      </c>
      <c r="E224" s="117" t="s">
        <v>845</v>
      </c>
    </row>
    <row r="225" spans="1:5" x14ac:dyDescent="0.2">
      <c r="A225" s="384" t="s">
        <v>1055</v>
      </c>
      <c r="B225" s="387" t="s">
        <v>109</v>
      </c>
      <c r="C225" s="117"/>
      <c r="D225" s="391">
        <v>665</v>
      </c>
      <c r="E225" s="117" t="s">
        <v>845</v>
      </c>
    </row>
    <row r="226" spans="1:5" x14ac:dyDescent="0.2">
      <c r="A226" s="384" t="s">
        <v>1076</v>
      </c>
      <c r="B226" s="387" t="s">
        <v>1043</v>
      </c>
      <c r="C226" s="117"/>
      <c r="D226" s="391">
        <v>320</v>
      </c>
      <c r="E226" s="117" t="s">
        <v>845</v>
      </c>
    </row>
    <row r="227" spans="1:5" x14ac:dyDescent="0.2">
      <c r="A227" s="384" t="s">
        <v>1000</v>
      </c>
      <c r="B227" s="387" t="s">
        <v>110</v>
      </c>
      <c r="C227" s="117"/>
      <c r="D227" s="391">
        <v>52</v>
      </c>
      <c r="E227" s="117" t="s">
        <v>845</v>
      </c>
    </row>
    <row r="228" spans="1:5" x14ac:dyDescent="0.2">
      <c r="A228" s="384" t="s">
        <v>1002</v>
      </c>
      <c r="B228" s="387" t="s">
        <v>110</v>
      </c>
      <c r="C228" s="117"/>
      <c r="D228" s="391">
        <v>223</v>
      </c>
      <c r="E228" s="117" t="s">
        <v>845</v>
      </c>
    </row>
    <row r="229" spans="1:5" x14ac:dyDescent="0.2">
      <c r="A229" s="384" t="s">
        <v>1061</v>
      </c>
      <c r="B229" s="387" t="s">
        <v>111</v>
      </c>
      <c r="C229" s="117"/>
      <c r="D229" s="391">
        <v>157</v>
      </c>
      <c r="E229" s="117" t="s">
        <v>845</v>
      </c>
    </row>
    <row r="230" spans="1:5" x14ac:dyDescent="0.2">
      <c r="A230" s="384" t="s">
        <v>1056</v>
      </c>
      <c r="B230" s="387" t="s">
        <v>112</v>
      </c>
      <c r="C230" s="117"/>
      <c r="D230" s="391">
        <v>155</v>
      </c>
      <c r="E230" s="117" t="s">
        <v>845</v>
      </c>
    </row>
    <row r="231" spans="1:5" x14ac:dyDescent="0.2">
      <c r="A231" s="384" t="s">
        <v>1063</v>
      </c>
      <c r="B231" s="387" t="s">
        <v>113</v>
      </c>
      <c r="C231" s="117"/>
      <c r="D231" s="391">
        <v>187</v>
      </c>
      <c r="E231" s="117" t="s">
        <v>845</v>
      </c>
    </row>
    <row r="232" spans="1:5" x14ac:dyDescent="0.2">
      <c r="A232" s="384" t="s">
        <v>1059</v>
      </c>
      <c r="B232" s="387" t="s">
        <v>114</v>
      </c>
      <c r="C232" s="117"/>
      <c r="D232" s="391">
        <v>219</v>
      </c>
      <c r="E232" s="117" t="s">
        <v>845</v>
      </c>
    </row>
    <row r="233" spans="1:5" x14ac:dyDescent="0.2">
      <c r="A233" s="384" t="s">
        <v>1044</v>
      </c>
      <c r="B233" s="387" t="s">
        <v>115</v>
      </c>
      <c r="C233" s="117"/>
      <c r="D233" s="391">
        <v>174</v>
      </c>
      <c r="E233" s="117" t="s">
        <v>845</v>
      </c>
    </row>
    <row r="234" spans="1:5" x14ac:dyDescent="0.2">
      <c r="A234" s="384" t="s">
        <v>1684</v>
      </c>
      <c r="B234" s="387" t="s">
        <v>116</v>
      </c>
      <c r="C234" s="117"/>
      <c r="D234" s="391">
        <v>48</v>
      </c>
      <c r="E234" s="117" t="s">
        <v>845</v>
      </c>
    </row>
    <row r="235" spans="1:5" x14ac:dyDescent="0.2">
      <c r="A235" s="384" t="s">
        <v>1685</v>
      </c>
      <c r="B235" s="387" t="s">
        <v>117</v>
      </c>
      <c r="C235" s="117"/>
      <c r="D235" s="391">
        <v>49</v>
      </c>
      <c r="E235" s="117" t="s">
        <v>845</v>
      </c>
    </row>
    <row r="236" spans="1:5" x14ac:dyDescent="0.2">
      <c r="A236" s="384" t="s">
        <v>1686</v>
      </c>
      <c r="B236" s="387" t="s">
        <v>118</v>
      </c>
      <c r="C236" s="117"/>
      <c r="D236" s="391">
        <v>50</v>
      </c>
      <c r="E236" s="117" t="s">
        <v>845</v>
      </c>
    </row>
    <row r="237" spans="1:5" x14ac:dyDescent="0.2">
      <c r="A237" s="384" t="s">
        <v>1687</v>
      </c>
      <c r="B237" s="387" t="s">
        <v>119</v>
      </c>
      <c r="C237" s="117"/>
      <c r="D237" s="391">
        <v>51</v>
      </c>
      <c r="E237" s="117" t="s">
        <v>845</v>
      </c>
    </row>
    <row r="238" spans="1:5" x14ac:dyDescent="0.2">
      <c r="A238" s="384" t="s">
        <v>1688</v>
      </c>
      <c r="B238" s="387" t="s">
        <v>120</v>
      </c>
      <c r="C238" s="117"/>
      <c r="D238" s="391">
        <v>52</v>
      </c>
      <c r="E238" s="117" t="s">
        <v>845</v>
      </c>
    </row>
    <row r="239" spans="1:5" x14ac:dyDescent="0.2">
      <c r="A239" s="384" t="s">
        <v>99</v>
      </c>
      <c r="B239" s="387" t="s">
        <v>100</v>
      </c>
      <c r="C239" s="117"/>
      <c r="D239" s="391">
        <v>12</v>
      </c>
      <c r="E239" s="117" t="s">
        <v>845</v>
      </c>
    </row>
    <row r="240" spans="1:5" x14ac:dyDescent="0.2">
      <c r="A240" s="757" t="s">
        <v>2325</v>
      </c>
      <c r="B240" s="387" t="s">
        <v>100</v>
      </c>
      <c r="C240" s="117"/>
      <c r="D240" s="391">
        <v>9</v>
      </c>
      <c r="E240" s="117" t="s">
        <v>845</v>
      </c>
    </row>
    <row r="241" spans="1:5" x14ac:dyDescent="0.2">
      <c r="A241" s="757" t="s">
        <v>2385</v>
      </c>
      <c r="B241" s="387" t="s">
        <v>121</v>
      </c>
      <c r="C241" s="117"/>
      <c r="D241" s="391">
        <v>73.84</v>
      </c>
      <c r="E241" s="117" t="s">
        <v>845</v>
      </c>
    </row>
    <row r="242" spans="1:5" x14ac:dyDescent="0.2">
      <c r="A242" s="757" t="s">
        <v>2392</v>
      </c>
      <c r="B242" s="387" t="s">
        <v>116</v>
      </c>
      <c r="C242" s="117"/>
      <c r="D242" s="391">
        <v>77.05</v>
      </c>
      <c r="E242" s="117" t="s">
        <v>845</v>
      </c>
    </row>
    <row r="243" spans="1:5" x14ac:dyDescent="0.2">
      <c r="A243" s="757" t="s">
        <v>2393</v>
      </c>
      <c r="B243" s="387" t="s">
        <v>117</v>
      </c>
      <c r="C243" s="117"/>
      <c r="D243" s="391">
        <v>81.33</v>
      </c>
      <c r="E243" s="117" t="s">
        <v>845</v>
      </c>
    </row>
    <row r="244" spans="1:5" x14ac:dyDescent="0.2">
      <c r="A244" s="757" t="s">
        <v>2394</v>
      </c>
      <c r="B244" s="387" t="s">
        <v>118</v>
      </c>
      <c r="C244" s="117"/>
      <c r="D244" s="391">
        <v>86.68</v>
      </c>
      <c r="E244" s="117" t="s">
        <v>845</v>
      </c>
    </row>
    <row r="245" spans="1:5" x14ac:dyDescent="0.2">
      <c r="A245" s="757" t="s">
        <v>2395</v>
      </c>
      <c r="B245" s="387" t="s">
        <v>119</v>
      </c>
      <c r="C245" s="117"/>
      <c r="D245" s="391">
        <v>93.1</v>
      </c>
      <c r="E245" s="117" t="s">
        <v>845</v>
      </c>
    </row>
    <row r="246" spans="1:5" x14ac:dyDescent="0.2">
      <c r="A246" s="757" t="s">
        <v>2386</v>
      </c>
      <c r="B246" s="387" t="s">
        <v>120</v>
      </c>
      <c r="C246" s="117"/>
      <c r="D246" s="391">
        <v>95.25</v>
      </c>
      <c r="E246" s="117" t="s">
        <v>845</v>
      </c>
    </row>
    <row r="247" spans="1:5" x14ac:dyDescent="0.2">
      <c r="A247" s="757" t="s">
        <v>2386</v>
      </c>
      <c r="B247" s="387" t="s">
        <v>120</v>
      </c>
      <c r="C247" s="117"/>
      <c r="D247" s="391">
        <v>105.95</v>
      </c>
      <c r="E247" s="117" t="s">
        <v>845</v>
      </c>
    </row>
    <row r="248" spans="1:5" x14ac:dyDescent="0.2">
      <c r="A248" s="757" t="s">
        <v>2387</v>
      </c>
      <c r="B248" s="387" t="s">
        <v>122</v>
      </c>
      <c r="C248" s="117"/>
      <c r="D248" s="391">
        <v>117.72</v>
      </c>
      <c r="E248" s="117" t="s">
        <v>845</v>
      </c>
    </row>
    <row r="249" spans="1:5" x14ac:dyDescent="0.2">
      <c r="A249" s="757" t="s">
        <v>2388</v>
      </c>
      <c r="B249" s="387" t="s">
        <v>123</v>
      </c>
      <c r="C249" s="117"/>
      <c r="D249" s="391">
        <v>135.91</v>
      </c>
      <c r="E249" s="117" t="s">
        <v>845</v>
      </c>
    </row>
    <row r="250" spans="1:5" x14ac:dyDescent="0.2">
      <c r="A250" s="757" t="s">
        <v>2389</v>
      </c>
      <c r="B250" s="387" t="s">
        <v>124</v>
      </c>
      <c r="C250" s="117"/>
      <c r="D250" s="391">
        <v>140.19</v>
      </c>
      <c r="E250" s="117" t="s">
        <v>845</v>
      </c>
    </row>
    <row r="251" spans="1:5" x14ac:dyDescent="0.2">
      <c r="A251" s="757" t="s">
        <v>2390</v>
      </c>
      <c r="B251" s="387" t="s">
        <v>125</v>
      </c>
      <c r="C251" s="117"/>
      <c r="D251" s="391">
        <v>155.16999999999999</v>
      </c>
      <c r="E251" s="117" t="s">
        <v>845</v>
      </c>
    </row>
    <row r="252" spans="1:5" x14ac:dyDescent="0.2">
      <c r="A252" s="757" t="s">
        <v>2391</v>
      </c>
      <c r="B252" s="387" t="s">
        <v>126</v>
      </c>
      <c r="C252" s="117"/>
      <c r="D252" s="391">
        <v>275</v>
      </c>
      <c r="E252" s="117" t="s">
        <v>845</v>
      </c>
    </row>
    <row r="253" spans="1:5" x14ac:dyDescent="0.2">
      <c r="A253" s="384" t="s">
        <v>1279</v>
      </c>
      <c r="B253" s="387" t="s">
        <v>127</v>
      </c>
      <c r="C253" s="117"/>
      <c r="D253" s="391">
        <v>19.100000000000001</v>
      </c>
      <c r="E253" s="117" t="s">
        <v>845</v>
      </c>
    </row>
    <row r="254" spans="1:5" x14ac:dyDescent="0.2">
      <c r="A254" s="384" t="s">
        <v>1284</v>
      </c>
      <c r="B254" s="387" t="s">
        <v>128</v>
      </c>
      <c r="C254" s="117"/>
      <c r="D254" s="391">
        <v>8.1999999999999993</v>
      </c>
      <c r="E254" s="117" t="s">
        <v>845</v>
      </c>
    </row>
    <row r="255" spans="1:5" x14ac:dyDescent="0.2">
      <c r="A255" s="384" t="s">
        <v>1689</v>
      </c>
      <c r="B255" s="387" t="s">
        <v>129</v>
      </c>
      <c r="C255" s="117"/>
      <c r="D255" s="391">
        <v>230</v>
      </c>
      <c r="E255" s="117" t="s">
        <v>845</v>
      </c>
    </row>
    <row r="256" spans="1:5" x14ac:dyDescent="0.2">
      <c r="A256" s="384" t="s">
        <v>1690</v>
      </c>
      <c r="B256" s="387" t="s">
        <v>130</v>
      </c>
      <c r="C256" s="117"/>
      <c r="D256" s="391">
        <v>255</v>
      </c>
      <c r="E256" s="117" t="s">
        <v>845</v>
      </c>
    </row>
    <row r="257" spans="1:5" x14ac:dyDescent="0.2">
      <c r="A257" s="384" t="s">
        <v>1691</v>
      </c>
      <c r="B257" s="387" t="s">
        <v>131</v>
      </c>
      <c r="C257" s="117"/>
      <c r="D257" s="391">
        <v>288</v>
      </c>
      <c r="E257" s="117" t="s">
        <v>845</v>
      </c>
    </row>
    <row r="258" spans="1:5" x14ac:dyDescent="0.2">
      <c r="A258" s="384" t="s">
        <v>1692</v>
      </c>
      <c r="B258" s="387" t="s">
        <v>132</v>
      </c>
      <c r="C258" s="117"/>
      <c r="D258" s="391">
        <v>339</v>
      </c>
      <c r="E258" s="117" t="s">
        <v>845</v>
      </c>
    </row>
    <row r="259" spans="1:5" x14ac:dyDescent="0.2">
      <c r="A259" s="384" t="s">
        <v>1693</v>
      </c>
      <c r="B259" s="387" t="s">
        <v>133</v>
      </c>
      <c r="C259" s="117"/>
      <c r="D259" s="391">
        <v>358</v>
      </c>
      <c r="E259" s="117" t="s">
        <v>845</v>
      </c>
    </row>
    <row r="260" spans="1:5" x14ac:dyDescent="0.2">
      <c r="A260" s="384" t="s">
        <v>1715</v>
      </c>
      <c r="B260" s="387" t="s">
        <v>134</v>
      </c>
      <c r="C260" s="117"/>
      <c r="D260" s="391">
        <v>409</v>
      </c>
      <c r="E260" s="117" t="s">
        <v>845</v>
      </c>
    </row>
    <row r="261" spans="1:5" x14ac:dyDescent="0.2">
      <c r="A261" s="384" t="s">
        <v>1716</v>
      </c>
      <c r="B261" s="387" t="s">
        <v>135</v>
      </c>
      <c r="C261" s="117"/>
      <c r="D261" s="391">
        <v>465</v>
      </c>
      <c r="E261" s="117" t="s">
        <v>845</v>
      </c>
    </row>
    <row r="262" spans="1:5" x14ac:dyDescent="0.2">
      <c r="A262" s="384" t="s">
        <v>1717</v>
      </c>
      <c r="B262" s="387" t="s">
        <v>136</v>
      </c>
      <c r="C262" s="117"/>
      <c r="D262" s="391">
        <v>591</v>
      </c>
      <c r="E262" s="117" t="s">
        <v>845</v>
      </c>
    </row>
    <row r="263" spans="1:5" x14ac:dyDescent="0.2">
      <c r="A263" s="384" t="s">
        <v>1718</v>
      </c>
      <c r="B263" s="387" t="s">
        <v>137</v>
      </c>
      <c r="C263" s="117"/>
      <c r="D263" s="391">
        <v>702</v>
      </c>
      <c r="E263" s="117" t="s">
        <v>845</v>
      </c>
    </row>
    <row r="264" spans="1:5" x14ac:dyDescent="0.2">
      <c r="A264" s="384" t="s">
        <v>1719</v>
      </c>
      <c r="B264" s="387" t="s">
        <v>138</v>
      </c>
      <c r="C264" s="117"/>
      <c r="D264" s="391">
        <v>739</v>
      </c>
      <c r="E264" s="117" t="s">
        <v>845</v>
      </c>
    </row>
    <row r="265" spans="1:5" x14ac:dyDescent="0.2">
      <c r="A265" s="384" t="s">
        <v>1720</v>
      </c>
      <c r="B265" s="387" t="s">
        <v>139</v>
      </c>
      <c r="C265" s="117"/>
      <c r="D265" s="391">
        <v>265</v>
      </c>
      <c r="E265" s="117" t="s">
        <v>845</v>
      </c>
    </row>
    <row r="266" spans="1:5" x14ac:dyDescent="0.2">
      <c r="A266" s="384" t="s">
        <v>1721</v>
      </c>
      <c r="B266" s="387" t="s">
        <v>140</v>
      </c>
      <c r="C266" s="117"/>
      <c r="D266" s="391">
        <v>303</v>
      </c>
      <c r="E266" s="117" t="s">
        <v>845</v>
      </c>
    </row>
    <row r="267" spans="1:5" x14ac:dyDescent="0.2">
      <c r="A267" s="384" t="s">
        <v>1722</v>
      </c>
      <c r="B267" s="387" t="s">
        <v>141</v>
      </c>
      <c r="C267" s="117"/>
      <c r="D267" s="391">
        <v>336</v>
      </c>
      <c r="E267" s="117" t="s">
        <v>845</v>
      </c>
    </row>
    <row r="268" spans="1:5" x14ac:dyDescent="0.2">
      <c r="A268" s="384" t="s">
        <v>1723</v>
      </c>
      <c r="B268" s="387" t="s">
        <v>142</v>
      </c>
      <c r="C268" s="117"/>
      <c r="D268" s="391">
        <v>363</v>
      </c>
      <c r="E268" s="117" t="s">
        <v>845</v>
      </c>
    </row>
    <row r="269" spans="1:5" x14ac:dyDescent="0.2">
      <c r="A269" s="384" t="s">
        <v>1724</v>
      </c>
      <c r="B269" s="387" t="s">
        <v>143</v>
      </c>
      <c r="C269" s="117"/>
      <c r="D269" s="391">
        <v>410</v>
      </c>
      <c r="E269" s="117" t="s">
        <v>845</v>
      </c>
    </row>
    <row r="270" spans="1:5" x14ac:dyDescent="0.2">
      <c r="A270" s="384" t="s">
        <v>1725</v>
      </c>
      <c r="B270" s="387" t="s">
        <v>144</v>
      </c>
      <c r="C270" s="117"/>
      <c r="D270" s="391">
        <v>460</v>
      </c>
      <c r="E270" s="117" t="s">
        <v>845</v>
      </c>
    </row>
    <row r="271" spans="1:5" x14ac:dyDescent="0.2">
      <c r="A271" s="384" t="s">
        <v>1726</v>
      </c>
      <c r="B271" s="387" t="s">
        <v>145</v>
      </c>
      <c r="C271" s="117"/>
      <c r="D271" s="391">
        <v>500</v>
      </c>
      <c r="E271" s="117" t="s">
        <v>845</v>
      </c>
    </row>
    <row r="272" spans="1:5" x14ac:dyDescent="0.2">
      <c r="A272" s="384" t="s">
        <v>1727</v>
      </c>
      <c r="B272" s="387" t="s">
        <v>146</v>
      </c>
      <c r="C272" s="117"/>
      <c r="D272" s="391">
        <v>650</v>
      </c>
      <c r="E272" s="117" t="s">
        <v>845</v>
      </c>
    </row>
    <row r="273" spans="1:5" x14ac:dyDescent="0.2">
      <c r="A273" s="384" t="s">
        <v>1728</v>
      </c>
      <c r="B273" s="387" t="s">
        <v>147</v>
      </c>
      <c r="C273" s="117"/>
      <c r="D273" s="391">
        <v>800</v>
      </c>
      <c r="E273" s="117" t="s">
        <v>845</v>
      </c>
    </row>
    <row r="274" spans="1:5" x14ac:dyDescent="0.2">
      <c r="A274" s="384" t="s">
        <v>1729</v>
      </c>
      <c r="B274" s="387" t="s">
        <v>148</v>
      </c>
      <c r="C274" s="117"/>
      <c r="D274" s="391">
        <v>950</v>
      </c>
      <c r="E274" s="117" t="s">
        <v>845</v>
      </c>
    </row>
    <row r="275" spans="1:5" x14ac:dyDescent="0.2">
      <c r="A275" s="384" t="s">
        <v>1731</v>
      </c>
      <c r="B275" s="387" t="s">
        <v>149</v>
      </c>
      <c r="C275" s="117"/>
      <c r="D275" s="391">
        <v>255</v>
      </c>
      <c r="E275" s="117" t="s">
        <v>845</v>
      </c>
    </row>
    <row r="276" spans="1:5" x14ac:dyDescent="0.2">
      <c r="A276" s="384" t="s">
        <v>1732</v>
      </c>
      <c r="B276" s="387" t="s">
        <v>150</v>
      </c>
      <c r="C276" s="117"/>
      <c r="D276" s="391">
        <v>293</v>
      </c>
      <c r="E276" s="117" t="s">
        <v>845</v>
      </c>
    </row>
    <row r="277" spans="1:5" x14ac:dyDescent="0.2">
      <c r="A277" s="384" t="s">
        <v>1733</v>
      </c>
      <c r="B277" s="387" t="s">
        <v>151</v>
      </c>
      <c r="C277" s="117"/>
      <c r="D277" s="391">
        <v>333</v>
      </c>
      <c r="E277" s="117" t="s">
        <v>845</v>
      </c>
    </row>
    <row r="278" spans="1:5" x14ac:dyDescent="0.2">
      <c r="A278" s="384" t="s">
        <v>1734</v>
      </c>
      <c r="B278" s="387" t="s">
        <v>152</v>
      </c>
      <c r="C278" s="117"/>
      <c r="D278" s="391">
        <v>367</v>
      </c>
      <c r="E278" s="117" t="s">
        <v>845</v>
      </c>
    </row>
    <row r="279" spans="1:5" x14ac:dyDescent="0.2">
      <c r="A279" s="384" t="s">
        <v>1735</v>
      </c>
      <c r="B279" s="387" t="s">
        <v>153</v>
      </c>
      <c r="C279" s="117"/>
      <c r="D279" s="391">
        <v>420</v>
      </c>
      <c r="E279" s="117" t="s">
        <v>845</v>
      </c>
    </row>
    <row r="280" spans="1:5" x14ac:dyDescent="0.2">
      <c r="A280" s="384" t="s">
        <v>1736</v>
      </c>
      <c r="B280" s="387" t="s">
        <v>154</v>
      </c>
      <c r="C280" s="117"/>
      <c r="D280" s="391">
        <v>475</v>
      </c>
      <c r="E280" s="117" t="s">
        <v>845</v>
      </c>
    </row>
    <row r="281" spans="1:5" x14ac:dyDescent="0.2">
      <c r="A281" s="384" t="s">
        <v>1737</v>
      </c>
      <c r="B281" s="387" t="s">
        <v>155</v>
      </c>
      <c r="C281" s="117"/>
      <c r="D281" s="391">
        <v>550</v>
      </c>
      <c r="E281" s="117" t="s">
        <v>845</v>
      </c>
    </row>
    <row r="282" spans="1:5" x14ac:dyDescent="0.2">
      <c r="A282" s="384" t="s">
        <v>1738</v>
      </c>
      <c r="B282" s="387" t="s">
        <v>156</v>
      </c>
      <c r="C282" s="117"/>
      <c r="D282" s="391">
        <v>650</v>
      </c>
      <c r="E282" s="117" t="s">
        <v>845</v>
      </c>
    </row>
    <row r="283" spans="1:5" x14ac:dyDescent="0.2">
      <c r="A283" s="384" t="s">
        <v>1739</v>
      </c>
      <c r="B283" s="387" t="s">
        <v>157</v>
      </c>
      <c r="C283" s="117"/>
      <c r="D283" s="391">
        <v>700</v>
      </c>
      <c r="E283" s="117" t="s">
        <v>845</v>
      </c>
    </row>
    <row r="284" spans="1:5" x14ac:dyDescent="0.2">
      <c r="A284" s="384" t="s">
        <v>1740</v>
      </c>
      <c r="B284" s="387" t="s">
        <v>158</v>
      </c>
      <c r="C284" s="117"/>
      <c r="D284" s="391">
        <v>750</v>
      </c>
      <c r="E284" s="117" t="s">
        <v>845</v>
      </c>
    </row>
    <row r="285" spans="1:5" x14ac:dyDescent="0.2">
      <c r="A285" s="384" t="s">
        <v>1741</v>
      </c>
      <c r="B285" s="387" t="s">
        <v>159</v>
      </c>
      <c r="C285" s="117"/>
      <c r="D285" s="391">
        <v>431</v>
      </c>
      <c r="E285" s="117" t="s">
        <v>845</v>
      </c>
    </row>
    <row r="286" spans="1:5" x14ac:dyDescent="0.2">
      <c r="A286" s="384" t="s">
        <v>1742</v>
      </c>
      <c r="B286" s="387" t="s">
        <v>160</v>
      </c>
      <c r="C286" s="117"/>
      <c r="D286" s="391">
        <v>470</v>
      </c>
      <c r="E286" s="117" t="s">
        <v>845</v>
      </c>
    </row>
    <row r="287" spans="1:5" x14ac:dyDescent="0.2">
      <c r="A287" s="384" t="s">
        <v>1743</v>
      </c>
      <c r="B287" s="387" t="s">
        <v>161</v>
      </c>
      <c r="C287" s="117"/>
      <c r="D287" s="391">
        <v>510</v>
      </c>
      <c r="E287" s="117" t="s">
        <v>845</v>
      </c>
    </row>
    <row r="288" spans="1:5" x14ac:dyDescent="0.2">
      <c r="A288" s="384" t="s">
        <v>1744</v>
      </c>
      <c r="B288" s="387" t="s">
        <v>162</v>
      </c>
      <c r="C288" s="117"/>
      <c r="D288" s="391">
        <v>490</v>
      </c>
      <c r="E288" s="117" t="s">
        <v>845</v>
      </c>
    </row>
    <row r="289" spans="1:5" x14ac:dyDescent="0.2">
      <c r="A289" s="384" t="s">
        <v>1745</v>
      </c>
      <c r="B289" s="387" t="s">
        <v>163</v>
      </c>
      <c r="C289" s="117"/>
      <c r="D289" s="391">
        <v>510</v>
      </c>
      <c r="E289" s="117" t="s">
        <v>845</v>
      </c>
    </row>
    <row r="290" spans="1:5" x14ac:dyDescent="0.2">
      <c r="A290" s="384" t="s">
        <v>1746</v>
      </c>
      <c r="B290" s="387" t="s">
        <v>164</v>
      </c>
      <c r="C290" s="117"/>
      <c r="D290" s="391">
        <v>628</v>
      </c>
      <c r="E290" s="117" t="s">
        <v>845</v>
      </c>
    </row>
    <row r="291" spans="1:5" x14ac:dyDescent="0.2">
      <c r="A291" s="384" t="s">
        <v>1747</v>
      </c>
      <c r="B291" s="387" t="s">
        <v>165</v>
      </c>
      <c r="C291" s="117"/>
      <c r="D291" s="391">
        <v>723</v>
      </c>
      <c r="E291" s="117" t="s">
        <v>845</v>
      </c>
    </row>
    <row r="292" spans="1:5" x14ac:dyDescent="0.2">
      <c r="A292" s="384" t="s">
        <v>1748</v>
      </c>
      <c r="B292" s="387" t="s">
        <v>166</v>
      </c>
      <c r="C292" s="117"/>
      <c r="D292" s="391">
        <v>738</v>
      </c>
      <c r="E292" s="117" t="s">
        <v>845</v>
      </c>
    </row>
    <row r="293" spans="1:5" x14ac:dyDescent="0.2">
      <c r="A293" s="384" t="s">
        <v>1749</v>
      </c>
      <c r="B293" s="387" t="s">
        <v>167</v>
      </c>
      <c r="C293" s="117"/>
      <c r="D293" s="391">
        <v>847</v>
      </c>
      <c r="E293" s="117" t="s">
        <v>845</v>
      </c>
    </row>
    <row r="294" spans="1:5" x14ac:dyDescent="0.2">
      <c r="A294" s="384" t="s">
        <v>1750</v>
      </c>
      <c r="B294" s="387" t="s">
        <v>168</v>
      </c>
      <c r="C294" s="117"/>
      <c r="D294" s="391">
        <v>950</v>
      </c>
      <c r="E294" s="117" t="s">
        <v>845</v>
      </c>
    </row>
    <row r="295" spans="1:5" x14ac:dyDescent="0.2">
      <c r="A295" s="384" t="s">
        <v>1751</v>
      </c>
      <c r="B295" s="387" t="s">
        <v>169</v>
      </c>
      <c r="C295" s="117"/>
      <c r="D295" s="391">
        <v>69</v>
      </c>
      <c r="E295" s="117" t="s">
        <v>845</v>
      </c>
    </row>
    <row r="296" spans="1:5" x14ac:dyDescent="0.2">
      <c r="A296" s="384" t="s">
        <v>1752</v>
      </c>
      <c r="B296" s="387" t="s">
        <v>170</v>
      </c>
      <c r="C296" s="117"/>
      <c r="D296" s="391">
        <v>74</v>
      </c>
      <c r="E296" s="117" t="s">
        <v>845</v>
      </c>
    </row>
    <row r="297" spans="1:5" x14ac:dyDescent="0.2">
      <c r="A297" s="384" t="s">
        <v>1753</v>
      </c>
      <c r="B297" s="387" t="s">
        <v>171</v>
      </c>
      <c r="C297" s="117"/>
      <c r="D297" s="391">
        <v>78</v>
      </c>
      <c r="E297" s="117" t="s">
        <v>845</v>
      </c>
    </row>
    <row r="298" spans="1:5" x14ac:dyDescent="0.2">
      <c r="A298" s="384" t="s">
        <v>1754</v>
      </c>
      <c r="B298" s="387" t="s">
        <v>172</v>
      </c>
      <c r="C298" s="117"/>
      <c r="D298" s="391">
        <v>82</v>
      </c>
      <c r="E298" s="117" t="s">
        <v>845</v>
      </c>
    </row>
    <row r="299" spans="1:5" x14ac:dyDescent="0.2">
      <c r="A299" s="384" t="s">
        <v>1755</v>
      </c>
      <c r="B299" s="387" t="s">
        <v>173</v>
      </c>
      <c r="C299" s="117"/>
      <c r="D299" s="391">
        <v>86</v>
      </c>
      <c r="E299" s="117" t="s">
        <v>845</v>
      </c>
    </row>
    <row r="300" spans="1:5" x14ac:dyDescent="0.2">
      <c r="A300" s="384" t="s">
        <v>1756</v>
      </c>
      <c r="B300" s="387" t="s">
        <v>174</v>
      </c>
      <c r="C300" s="117"/>
      <c r="D300" s="391">
        <v>107</v>
      </c>
      <c r="E300" s="117" t="s">
        <v>845</v>
      </c>
    </row>
    <row r="301" spans="1:5" x14ac:dyDescent="0.2">
      <c r="A301" s="384" t="s">
        <v>1757</v>
      </c>
      <c r="B301" s="387" t="s">
        <v>175</v>
      </c>
      <c r="C301" s="117"/>
      <c r="D301" s="391">
        <v>126</v>
      </c>
      <c r="E301" s="117" t="s">
        <v>845</v>
      </c>
    </row>
    <row r="302" spans="1:5" x14ac:dyDescent="0.2">
      <c r="A302" s="384" t="s">
        <v>1758</v>
      </c>
      <c r="B302" s="387" t="s">
        <v>176</v>
      </c>
      <c r="C302" s="117"/>
      <c r="D302" s="391">
        <v>218</v>
      </c>
      <c r="E302" s="117" t="s">
        <v>845</v>
      </c>
    </row>
    <row r="303" spans="1:5" x14ac:dyDescent="0.2">
      <c r="A303" s="384" t="s">
        <v>1759</v>
      </c>
      <c r="B303" s="387" t="s">
        <v>177</v>
      </c>
      <c r="C303" s="117"/>
      <c r="D303" s="391">
        <v>304</v>
      </c>
      <c r="E303" s="117" t="s">
        <v>845</v>
      </c>
    </row>
    <row r="304" spans="1:5" x14ac:dyDescent="0.2">
      <c r="A304" s="384" t="s">
        <v>1760</v>
      </c>
      <c r="B304" s="387" t="s">
        <v>178</v>
      </c>
      <c r="C304" s="117"/>
      <c r="D304" s="391">
        <v>288</v>
      </c>
      <c r="E304" s="117" t="s">
        <v>845</v>
      </c>
    </row>
    <row r="305" spans="1:5" x14ac:dyDescent="0.2">
      <c r="A305" s="384" t="s">
        <v>1695</v>
      </c>
      <c r="B305" s="387" t="s">
        <v>1696</v>
      </c>
      <c r="C305" s="117"/>
      <c r="D305" s="391">
        <v>77</v>
      </c>
      <c r="E305" s="117" t="s">
        <v>845</v>
      </c>
    </row>
    <row r="306" spans="1:5" x14ac:dyDescent="0.2">
      <c r="A306" s="384" t="s">
        <v>1697</v>
      </c>
      <c r="B306" s="387" t="s">
        <v>1706</v>
      </c>
      <c r="C306" s="117"/>
      <c r="D306" s="391">
        <v>83</v>
      </c>
      <c r="E306" s="117" t="s">
        <v>845</v>
      </c>
    </row>
    <row r="307" spans="1:5" x14ac:dyDescent="0.2">
      <c r="A307" s="384" t="s">
        <v>1698</v>
      </c>
      <c r="B307" s="387" t="s">
        <v>1707</v>
      </c>
      <c r="C307" s="117"/>
      <c r="D307" s="391">
        <v>88</v>
      </c>
      <c r="E307" s="117" t="s">
        <v>845</v>
      </c>
    </row>
    <row r="308" spans="1:5" x14ac:dyDescent="0.2">
      <c r="A308" s="384" t="s">
        <v>1699</v>
      </c>
      <c r="B308" s="387" t="s">
        <v>1708</v>
      </c>
      <c r="C308" s="117"/>
      <c r="D308" s="391">
        <v>92</v>
      </c>
      <c r="E308" s="117" t="s">
        <v>845</v>
      </c>
    </row>
    <row r="309" spans="1:5" x14ac:dyDescent="0.2">
      <c r="A309" s="384" t="s">
        <v>1700</v>
      </c>
      <c r="B309" s="387" t="s">
        <v>1709</v>
      </c>
      <c r="C309" s="117"/>
      <c r="D309" s="391">
        <v>99</v>
      </c>
      <c r="E309" s="117" t="s">
        <v>845</v>
      </c>
    </row>
    <row r="310" spans="1:5" x14ac:dyDescent="0.2">
      <c r="A310" s="384" t="s">
        <v>1701</v>
      </c>
      <c r="B310" s="387" t="s">
        <v>1710</v>
      </c>
      <c r="C310" s="117"/>
      <c r="D310" s="391">
        <v>113</v>
      </c>
      <c r="E310" s="117" t="s">
        <v>845</v>
      </c>
    </row>
    <row r="311" spans="1:5" x14ac:dyDescent="0.2">
      <c r="A311" s="384" t="s">
        <v>1702</v>
      </c>
      <c r="B311" s="387" t="s">
        <v>1711</v>
      </c>
      <c r="C311" s="117"/>
      <c r="D311" s="391">
        <v>139</v>
      </c>
      <c r="E311" s="117" t="s">
        <v>845</v>
      </c>
    </row>
    <row r="312" spans="1:5" x14ac:dyDescent="0.2">
      <c r="A312" s="384" t="s">
        <v>1703</v>
      </c>
      <c r="B312" s="387" t="s">
        <v>1712</v>
      </c>
      <c r="C312" s="117"/>
      <c r="D312" s="391">
        <v>231</v>
      </c>
      <c r="E312" s="117" t="s">
        <v>845</v>
      </c>
    </row>
    <row r="313" spans="1:5" x14ac:dyDescent="0.2">
      <c r="A313" s="384" t="s">
        <v>1704</v>
      </c>
      <c r="B313" s="387" t="s">
        <v>1713</v>
      </c>
      <c r="C313" s="117"/>
      <c r="D313" s="391">
        <v>317</v>
      </c>
      <c r="E313" s="117" t="s">
        <v>845</v>
      </c>
    </row>
    <row r="314" spans="1:5" x14ac:dyDescent="0.2">
      <c r="A314" s="384" t="s">
        <v>1705</v>
      </c>
      <c r="B314" s="387" t="s">
        <v>1714</v>
      </c>
      <c r="C314" s="117"/>
      <c r="D314" s="391">
        <v>301</v>
      </c>
      <c r="E314" s="117" t="s">
        <v>845</v>
      </c>
    </row>
    <row r="315" spans="1:5" x14ac:dyDescent="0.2">
      <c r="A315" s="384" t="s">
        <v>1761</v>
      </c>
      <c r="B315" s="387" t="s">
        <v>180</v>
      </c>
      <c r="C315" s="117"/>
      <c r="D315" s="391">
        <v>76</v>
      </c>
      <c r="E315" s="117" t="s">
        <v>845</v>
      </c>
    </row>
    <row r="316" spans="1:5" x14ac:dyDescent="0.2">
      <c r="A316" s="384" t="s">
        <v>1762</v>
      </c>
      <c r="B316" s="387" t="s">
        <v>181</v>
      </c>
      <c r="C316" s="117"/>
      <c r="D316" s="391">
        <v>82</v>
      </c>
      <c r="E316" s="117" t="s">
        <v>845</v>
      </c>
    </row>
    <row r="317" spans="1:5" x14ac:dyDescent="0.2">
      <c r="A317" s="384" t="s">
        <v>1763</v>
      </c>
      <c r="B317" s="387" t="s">
        <v>182</v>
      </c>
      <c r="C317" s="117"/>
      <c r="D317" s="391">
        <v>87</v>
      </c>
      <c r="E317" s="117" t="s">
        <v>845</v>
      </c>
    </row>
    <row r="318" spans="1:5" x14ac:dyDescent="0.2">
      <c r="A318" s="384" t="s">
        <v>1764</v>
      </c>
      <c r="B318" s="387" t="s">
        <v>183</v>
      </c>
      <c r="C318" s="117"/>
      <c r="D318" s="391">
        <v>91</v>
      </c>
      <c r="E318" s="117" t="s">
        <v>845</v>
      </c>
    </row>
    <row r="319" spans="1:5" x14ac:dyDescent="0.2">
      <c r="A319" s="384" t="s">
        <v>1765</v>
      </c>
      <c r="B319" s="387" t="s">
        <v>184</v>
      </c>
      <c r="C319" s="117"/>
      <c r="D319" s="391">
        <v>98</v>
      </c>
      <c r="E319" s="117" t="s">
        <v>845</v>
      </c>
    </row>
    <row r="320" spans="1:5" x14ac:dyDescent="0.2">
      <c r="A320" s="384" t="s">
        <v>1766</v>
      </c>
      <c r="B320" s="387" t="s">
        <v>185</v>
      </c>
      <c r="C320" s="117"/>
      <c r="D320" s="391">
        <v>120</v>
      </c>
      <c r="E320" s="117" t="s">
        <v>845</v>
      </c>
    </row>
    <row r="321" spans="1:5" x14ac:dyDescent="0.2">
      <c r="A321" s="384" t="s">
        <v>1767</v>
      </c>
      <c r="B321" s="387" t="s">
        <v>186</v>
      </c>
      <c r="C321" s="117"/>
      <c r="D321" s="391">
        <v>138</v>
      </c>
      <c r="E321" s="117" t="s">
        <v>845</v>
      </c>
    </row>
    <row r="322" spans="1:5" x14ac:dyDescent="0.2">
      <c r="A322" s="384" t="s">
        <v>1768</v>
      </c>
      <c r="B322" s="387" t="s">
        <v>187</v>
      </c>
      <c r="C322" s="117"/>
      <c r="D322" s="391">
        <v>230</v>
      </c>
      <c r="E322" s="117" t="s">
        <v>845</v>
      </c>
    </row>
    <row r="323" spans="1:5" x14ac:dyDescent="0.2">
      <c r="A323" s="384" t="s">
        <v>1769</v>
      </c>
      <c r="B323" s="387" t="s">
        <v>188</v>
      </c>
      <c r="C323" s="117"/>
      <c r="D323" s="391">
        <v>316</v>
      </c>
      <c r="E323" s="117" t="s">
        <v>845</v>
      </c>
    </row>
    <row r="324" spans="1:5" x14ac:dyDescent="0.2">
      <c r="A324" s="384" t="s">
        <v>1770</v>
      </c>
      <c r="B324" s="387" t="s">
        <v>191</v>
      </c>
      <c r="C324" s="117"/>
      <c r="D324" s="391">
        <v>300</v>
      </c>
      <c r="E324" s="117" t="s">
        <v>845</v>
      </c>
    </row>
    <row r="325" spans="1:5" x14ac:dyDescent="0.2">
      <c r="A325" s="384" t="s">
        <v>1771</v>
      </c>
      <c r="B325" s="387" t="s">
        <v>192</v>
      </c>
      <c r="C325" s="117"/>
      <c r="D325" s="391">
        <v>100</v>
      </c>
      <c r="E325" s="117" t="s">
        <v>845</v>
      </c>
    </row>
    <row r="326" spans="1:5" x14ac:dyDescent="0.2">
      <c r="A326" s="384" t="s">
        <v>1772</v>
      </c>
      <c r="B326" s="387" t="s">
        <v>193</v>
      </c>
      <c r="C326" s="117"/>
      <c r="D326" s="391">
        <v>113</v>
      </c>
      <c r="E326" s="117" t="s">
        <v>845</v>
      </c>
    </row>
    <row r="327" spans="1:5" x14ac:dyDescent="0.2">
      <c r="A327" s="384" t="s">
        <v>1773</v>
      </c>
      <c r="B327" s="387" t="s">
        <v>194</v>
      </c>
      <c r="C327" s="117"/>
      <c r="D327" s="391">
        <v>123</v>
      </c>
      <c r="E327" s="117" t="s">
        <v>845</v>
      </c>
    </row>
    <row r="328" spans="1:5" x14ac:dyDescent="0.2">
      <c r="A328" s="384" t="s">
        <v>1774</v>
      </c>
      <c r="B328" s="387" t="s">
        <v>195</v>
      </c>
      <c r="C328" s="117"/>
      <c r="D328" s="391">
        <v>145</v>
      </c>
      <c r="E328" s="117" t="s">
        <v>845</v>
      </c>
    </row>
    <row r="329" spans="1:5" x14ac:dyDescent="0.2">
      <c r="A329" s="384" t="s">
        <v>1775</v>
      </c>
      <c r="B329" s="387" t="s">
        <v>184</v>
      </c>
      <c r="C329" s="117"/>
      <c r="D329" s="391">
        <v>148</v>
      </c>
      <c r="E329" s="117" t="s">
        <v>845</v>
      </c>
    </row>
    <row r="330" spans="1:5" x14ac:dyDescent="0.2">
      <c r="A330" s="384" t="s">
        <v>1776</v>
      </c>
      <c r="B330" s="387" t="s">
        <v>185</v>
      </c>
      <c r="C330" s="117"/>
      <c r="D330" s="391">
        <v>193</v>
      </c>
      <c r="E330" s="117" t="s">
        <v>845</v>
      </c>
    </row>
    <row r="331" spans="1:5" x14ac:dyDescent="0.2">
      <c r="A331" s="384" t="s">
        <v>1777</v>
      </c>
      <c r="B331" s="387" t="s">
        <v>186</v>
      </c>
      <c r="C331" s="117"/>
      <c r="D331" s="391">
        <v>199</v>
      </c>
      <c r="E331" s="117" t="s">
        <v>845</v>
      </c>
    </row>
    <row r="332" spans="1:5" x14ac:dyDescent="0.2">
      <c r="A332" s="384" t="s">
        <v>1778</v>
      </c>
      <c r="B332" s="387" t="s">
        <v>187</v>
      </c>
      <c r="C332" s="117"/>
      <c r="D332" s="391">
        <v>210</v>
      </c>
      <c r="E332" s="117" t="s">
        <v>845</v>
      </c>
    </row>
    <row r="333" spans="1:5" x14ac:dyDescent="0.2">
      <c r="A333" s="384" t="s">
        <v>1779</v>
      </c>
      <c r="B333" s="387" t="s">
        <v>188</v>
      </c>
      <c r="C333" s="117"/>
      <c r="D333" s="391">
        <v>280</v>
      </c>
      <c r="E333" s="117" t="s">
        <v>845</v>
      </c>
    </row>
    <row r="334" spans="1:5" x14ac:dyDescent="0.2">
      <c r="A334" s="384" t="s">
        <v>1780</v>
      </c>
      <c r="B334" s="387" t="s">
        <v>191</v>
      </c>
      <c r="C334" s="117"/>
      <c r="D334" s="391">
        <v>330</v>
      </c>
      <c r="E334" s="117" t="s">
        <v>845</v>
      </c>
    </row>
    <row r="335" spans="1:5" x14ac:dyDescent="0.2">
      <c r="A335" s="384" t="s">
        <v>1787</v>
      </c>
      <c r="B335" s="387" t="s">
        <v>196</v>
      </c>
      <c r="C335" s="117"/>
      <c r="D335" s="391">
        <v>278</v>
      </c>
      <c r="E335" s="117" t="s">
        <v>845</v>
      </c>
    </row>
    <row r="336" spans="1:5" x14ac:dyDescent="0.2">
      <c r="A336" s="384" t="s">
        <v>1791</v>
      </c>
      <c r="B336" s="387" t="s">
        <v>197</v>
      </c>
      <c r="C336" s="117"/>
      <c r="D336" s="391">
        <v>291</v>
      </c>
      <c r="E336" s="117" t="s">
        <v>845</v>
      </c>
    </row>
    <row r="337" spans="1:5" x14ac:dyDescent="0.2">
      <c r="A337" s="384" t="s">
        <v>1792</v>
      </c>
      <c r="B337" s="387" t="s">
        <v>198</v>
      </c>
      <c r="C337" s="117"/>
      <c r="D337" s="391">
        <v>332</v>
      </c>
      <c r="E337" s="117" t="s">
        <v>845</v>
      </c>
    </row>
    <row r="338" spans="1:5" x14ac:dyDescent="0.2">
      <c r="A338" s="384" t="s">
        <v>1793</v>
      </c>
      <c r="B338" s="387" t="s">
        <v>199</v>
      </c>
      <c r="C338" s="117"/>
      <c r="D338" s="391">
        <v>367</v>
      </c>
      <c r="E338" s="117" t="s">
        <v>845</v>
      </c>
    </row>
    <row r="339" spans="1:5" x14ac:dyDescent="0.2">
      <c r="A339" s="384" t="s">
        <v>1794</v>
      </c>
      <c r="B339" s="387" t="s">
        <v>200</v>
      </c>
      <c r="C339" s="117"/>
      <c r="D339" s="391">
        <v>392</v>
      </c>
      <c r="E339" s="117" t="s">
        <v>845</v>
      </c>
    </row>
    <row r="340" spans="1:5" x14ac:dyDescent="0.2">
      <c r="A340" s="384" t="s">
        <v>1795</v>
      </c>
      <c r="B340" s="387" t="s">
        <v>201</v>
      </c>
      <c r="C340" s="117"/>
      <c r="D340" s="391">
        <v>428</v>
      </c>
      <c r="E340" s="117" t="s">
        <v>845</v>
      </c>
    </row>
    <row r="341" spans="1:5" x14ac:dyDescent="0.2">
      <c r="A341" s="384" t="s">
        <v>1796</v>
      </c>
      <c r="B341" s="387" t="s">
        <v>202</v>
      </c>
      <c r="C341" s="117"/>
      <c r="D341" s="391">
        <v>463</v>
      </c>
      <c r="E341" s="117" t="s">
        <v>845</v>
      </c>
    </row>
    <row r="342" spans="1:5" x14ac:dyDescent="0.2">
      <c r="A342" s="384" t="s">
        <v>1797</v>
      </c>
      <c r="B342" s="387" t="s">
        <v>203</v>
      </c>
      <c r="C342" s="117"/>
      <c r="D342" s="391">
        <v>690</v>
      </c>
      <c r="E342" s="117" t="s">
        <v>845</v>
      </c>
    </row>
    <row r="343" spans="1:5" x14ac:dyDescent="0.2">
      <c r="A343" s="384" t="s">
        <v>1798</v>
      </c>
      <c r="B343" s="387" t="s">
        <v>204</v>
      </c>
      <c r="C343" s="117"/>
      <c r="D343" s="391">
        <v>701</v>
      </c>
      <c r="E343" s="117" t="s">
        <v>845</v>
      </c>
    </row>
    <row r="344" spans="1:5" x14ac:dyDescent="0.2">
      <c r="A344" s="384" t="s">
        <v>1799</v>
      </c>
      <c r="B344" s="387" t="s">
        <v>205</v>
      </c>
      <c r="C344" s="117"/>
      <c r="D344" s="391">
        <v>819</v>
      </c>
      <c r="E344" s="117" t="s">
        <v>845</v>
      </c>
    </row>
    <row r="345" spans="1:5" x14ac:dyDescent="0.2">
      <c r="A345" s="384" t="s">
        <v>1800</v>
      </c>
      <c r="B345" s="387" t="s">
        <v>206</v>
      </c>
      <c r="C345" s="117"/>
      <c r="D345" s="391">
        <v>425</v>
      </c>
      <c r="E345" s="117" t="s">
        <v>845</v>
      </c>
    </row>
    <row r="346" spans="1:5" x14ac:dyDescent="0.2">
      <c r="A346" s="384" t="s">
        <v>1801</v>
      </c>
      <c r="B346" s="387" t="s">
        <v>207</v>
      </c>
      <c r="C346" s="117"/>
      <c r="D346" s="391">
        <v>428</v>
      </c>
      <c r="E346" s="117" t="s">
        <v>845</v>
      </c>
    </row>
    <row r="347" spans="1:5" x14ac:dyDescent="0.2">
      <c r="A347" s="384" t="s">
        <v>1802</v>
      </c>
      <c r="B347" s="387" t="s">
        <v>208</v>
      </c>
      <c r="C347" s="117"/>
      <c r="D347" s="391">
        <v>430</v>
      </c>
      <c r="E347" s="117" t="s">
        <v>845</v>
      </c>
    </row>
    <row r="348" spans="1:5" x14ac:dyDescent="0.2">
      <c r="A348" s="384" t="s">
        <v>1803</v>
      </c>
      <c r="B348" s="387" t="s">
        <v>211</v>
      </c>
      <c r="C348" s="117"/>
      <c r="D348" s="391">
        <v>436</v>
      </c>
      <c r="E348" s="117" t="s">
        <v>845</v>
      </c>
    </row>
    <row r="349" spans="1:5" x14ac:dyDescent="0.2">
      <c r="A349" s="384" t="s">
        <v>1804</v>
      </c>
      <c r="B349" s="387" t="s">
        <v>212</v>
      </c>
      <c r="C349" s="117"/>
      <c r="D349" s="391">
        <v>530</v>
      </c>
      <c r="E349" s="117" t="s">
        <v>845</v>
      </c>
    </row>
    <row r="350" spans="1:5" x14ac:dyDescent="0.2">
      <c r="A350" s="384" t="s">
        <v>1805</v>
      </c>
      <c r="B350" s="387" t="s">
        <v>213</v>
      </c>
      <c r="C350" s="117"/>
      <c r="D350" s="391">
        <v>567</v>
      </c>
      <c r="E350" s="117" t="s">
        <v>845</v>
      </c>
    </row>
    <row r="351" spans="1:5" x14ac:dyDescent="0.2">
      <c r="A351" s="384" t="s">
        <v>1806</v>
      </c>
      <c r="B351" s="387" t="s">
        <v>214</v>
      </c>
      <c r="C351" s="117"/>
      <c r="D351" s="391">
        <v>579</v>
      </c>
      <c r="E351" s="117" t="s">
        <v>845</v>
      </c>
    </row>
    <row r="352" spans="1:5" x14ac:dyDescent="0.2">
      <c r="A352" s="384" t="s">
        <v>1807</v>
      </c>
      <c r="B352" s="387" t="s">
        <v>215</v>
      </c>
      <c r="C352" s="117"/>
      <c r="D352" s="391">
        <v>818</v>
      </c>
      <c r="E352" s="117" t="s">
        <v>845</v>
      </c>
    </row>
    <row r="353" spans="1:5" x14ac:dyDescent="0.2">
      <c r="A353" s="384" t="s">
        <v>1808</v>
      </c>
      <c r="B353" s="387" t="s">
        <v>216</v>
      </c>
      <c r="C353" s="117"/>
      <c r="D353" s="391">
        <v>843</v>
      </c>
      <c r="E353" s="117" t="s">
        <v>845</v>
      </c>
    </row>
    <row r="354" spans="1:5" x14ac:dyDescent="0.2">
      <c r="A354" s="384" t="s">
        <v>1809</v>
      </c>
      <c r="B354" s="387" t="s">
        <v>217</v>
      </c>
      <c r="C354" s="117"/>
      <c r="D354" s="391">
        <v>946</v>
      </c>
      <c r="E354" s="117" t="s">
        <v>845</v>
      </c>
    </row>
    <row r="355" spans="1:5" x14ac:dyDescent="0.2">
      <c r="A355" s="384" t="s">
        <v>1810</v>
      </c>
      <c r="B355" s="387" t="s">
        <v>180</v>
      </c>
      <c r="C355" s="117"/>
      <c r="D355" s="758">
        <v>99</v>
      </c>
      <c r="E355" s="117" t="s">
        <v>845</v>
      </c>
    </row>
    <row r="356" spans="1:5" x14ac:dyDescent="0.2">
      <c r="A356" s="384" t="s">
        <v>1811</v>
      </c>
      <c r="B356" s="387" t="s">
        <v>181</v>
      </c>
      <c r="C356" s="117"/>
      <c r="D356" s="758">
        <v>113</v>
      </c>
      <c r="E356" s="117" t="s">
        <v>845</v>
      </c>
    </row>
    <row r="357" spans="1:5" x14ac:dyDescent="0.2">
      <c r="A357" s="384" t="s">
        <v>1812</v>
      </c>
      <c r="B357" s="387" t="s">
        <v>182</v>
      </c>
      <c r="C357" s="117"/>
      <c r="D357" s="758">
        <v>122</v>
      </c>
      <c r="E357" s="117" t="s">
        <v>845</v>
      </c>
    </row>
    <row r="358" spans="1:5" x14ac:dyDescent="0.2">
      <c r="A358" s="384" t="s">
        <v>1813</v>
      </c>
      <c r="B358" s="387" t="s">
        <v>183</v>
      </c>
      <c r="C358" s="117"/>
      <c r="D358" s="758">
        <v>144</v>
      </c>
      <c r="E358" s="117" t="s">
        <v>845</v>
      </c>
    </row>
    <row r="359" spans="1:5" x14ac:dyDescent="0.2">
      <c r="A359" s="384" t="s">
        <v>1814</v>
      </c>
      <c r="B359" s="387" t="s">
        <v>184</v>
      </c>
      <c r="C359" s="117"/>
      <c r="D359" s="758">
        <v>147</v>
      </c>
      <c r="E359" s="117" t="s">
        <v>845</v>
      </c>
    </row>
    <row r="360" spans="1:5" x14ac:dyDescent="0.2">
      <c r="A360" s="384" t="s">
        <v>1815</v>
      </c>
      <c r="B360" s="387" t="s">
        <v>185</v>
      </c>
      <c r="C360" s="117"/>
      <c r="D360" s="758">
        <v>192</v>
      </c>
      <c r="E360" s="117" t="s">
        <v>845</v>
      </c>
    </row>
    <row r="361" spans="1:5" x14ac:dyDescent="0.2">
      <c r="A361" s="384" t="s">
        <v>1816</v>
      </c>
      <c r="B361" s="387" t="s">
        <v>186</v>
      </c>
      <c r="C361" s="117"/>
      <c r="D361" s="758">
        <v>198</v>
      </c>
      <c r="E361" s="117" t="s">
        <v>845</v>
      </c>
    </row>
    <row r="362" spans="1:5" x14ac:dyDescent="0.2">
      <c r="A362" s="384" t="s">
        <v>1817</v>
      </c>
      <c r="B362" s="387" t="s">
        <v>187</v>
      </c>
      <c r="C362" s="117"/>
      <c r="D362" s="758">
        <v>238</v>
      </c>
      <c r="E362" s="117" t="s">
        <v>845</v>
      </c>
    </row>
    <row r="363" spans="1:5" x14ac:dyDescent="0.2">
      <c r="A363" s="384" t="s">
        <v>1818</v>
      </c>
      <c r="B363" s="387" t="s">
        <v>188</v>
      </c>
      <c r="C363" s="117"/>
      <c r="D363" s="758">
        <v>279</v>
      </c>
      <c r="E363" s="117" t="s">
        <v>845</v>
      </c>
    </row>
    <row r="364" spans="1:5" x14ac:dyDescent="0.2">
      <c r="A364" s="384" t="s">
        <v>1819</v>
      </c>
      <c r="B364" s="387" t="s">
        <v>191</v>
      </c>
      <c r="C364" s="117"/>
      <c r="D364" s="758">
        <v>329</v>
      </c>
      <c r="E364" s="117" t="s">
        <v>845</v>
      </c>
    </row>
    <row r="365" spans="1:5" x14ac:dyDescent="0.2">
      <c r="A365" s="384" t="s">
        <v>667</v>
      </c>
      <c r="B365" s="387" t="s">
        <v>668</v>
      </c>
      <c r="C365" s="117"/>
      <c r="D365" s="391">
        <v>60</v>
      </c>
      <c r="E365" s="117" t="s">
        <v>845</v>
      </c>
    </row>
    <row r="366" spans="1:5" x14ac:dyDescent="0.2">
      <c r="A366" s="384" t="s">
        <v>1820</v>
      </c>
      <c r="B366" s="387" t="s">
        <v>218</v>
      </c>
      <c r="C366" s="117"/>
      <c r="D366" s="391">
        <v>69</v>
      </c>
      <c r="E366" s="117" t="s">
        <v>845</v>
      </c>
    </row>
    <row r="367" spans="1:5" x14ac:dyDescent="0.2">
      <c r="A367" s="384" t="s">
        <v>1821</v>
      </c>
      <c r="B367" s="387" t="s">
        <v>219</v>
      </c>
      <c r="C367" s="117"/>
      <c r="D367" s="391">
        <v>81</v>
      </c>
      <c r="E367" s="117" t="s">
        <v>845</v>
      </c>
    </row>
    <row r="368" spans="1:5" x14ac:dyDescent="0.2">
      <c r="A368" s="384" t="s">
        <v>1822</v>
      </c>
      <c r="B368" s="387" t="s">
        <v>220</v>
      </c>
      <c r="C368" s="117"/>
      <c r="D368" s="391">
        <v>97</v>
      </c>
      <c r="E368" s="117" t="s">
        <v>845</v>
      </c>
    </row>
    <row r="369" spans="1:5" x14ac:dyDescent="0.2">
      <c r="A369" s="384" t="s">
        <v>1823</v>
      </c>
      <c r="B369" s="387" t="s">
        <v>221</v>
      </c>
      <c r="C369" s="117"/>
      <c r="D369" s="391">
        <v>112</v>
      </c>
      <c r="E369" s="117" t="s">
        <v>845</v>
      </c>
    </row>
    <row r="370" spans="1:5" x14ac:dyDescent="0.2">
      <c r="A370" s="384" t="s">
        <v>1824</v>
      </c>
      <c r="B370" s="387" t="s">
        <v>222</v>
      </c>
      <c r="C370" s="117"/>
      <c r="D370" s="758">
        <v>109</v>
      </c>
      <c r="E370" s="117" t="s">
        <v>845</v>
      </c>
    </row>
    <row r="371" spans="1:5" x14ac:dyDescent="0.2">
      <c r="A371" s="384" t="s">
        <v>1825</v>
      </c>
      <c r="B371" s="387" t="s">
        <v>223</v>
      </c>
      <c r="C371" s="117"/>
      <c r="D371" s="758">
        <v>136</v>
      </c>
      <c r="E371" s="117" t="s">
        <v>845</v>
      </c>
    </row>
    <row r="372" spans="1:5" x14ac:dyDescent="0.2">
      <c r="A372" s="384" t="s">
        <v>1826</v>
      </c>
      <c r="B372" s="387" t="s">
        <v>224</v>
      </c>
      <c r="C372" s="117"/>
      <c r="D372" s="758">
        <v>154</v>
      </c>
      <c r="E372" s="117" t="s">
        <v>845</v>
      </c>
    </row>
    <row r="373" spans="1:5" x14ac:dyDescent="0.2">
      <c r="A373" s="384" t="s">
        <v>1827</v>
      </c>
      <c r="B373" s="387" t="s">
        <v>225</v>
      </c>
      <c r="C373" s="117"/>
      <c r="D373" s="391">
        <v>224</v>
      </c>
      <c r="E373" s="117" t="s">
        <v>845</v>
      </c>
    </row>
    <row r="374" spans="1:5" x14ac:dyDescent="0.2">
      <c r="A374" s="384" t="s">
        <v>1828</v>
      </c>
      <c r="B374" s="387" t="s">
        <v>226</v>
      </c>
      <c r="C374" s="117"/>
      <c r="D374" s="391">
        <v>317</v>
      </c>
      <c r="E374" s="117" t="s">
        <v>845</v>
      </c>
    </row>
    <row r="375" spans="1:5" x14ac:dyDescent="0.2">
      <c r="A375" s="384" t="s">
        <v>1829</v>
      </c>
      <c r="B375" s="387" t="s">
        <v>227</v>
      </c>
      <c r="C375" s="117"/>
      <c r="D375" s="391">
        <v>363</v>
      </c>
      <c r="E375" s="117" t="s">
        <v>845</v>
      </c>
    </row>
    <row r="376" spans="1:5" x14ac:dyDescent="0.2">
      <c r="A376" s="384" t="s">
        <v>669</v>
      </c>
      <c r="B376" s="387" t="s">
        <v>670</v>
      </c>
      <c r="C376" s="117"/>
      <c r="D376" s="391">
        <v>68</v>
      </c>
      <c r="E376" s="117" t="s">
        <v>845</v>
      </c>
    </row>
    <row r="377" spans="1:5" x14ac:dyDescent="0.2">
      <c r="A377" s="384" t="s">
        <v>1830</v>
      </c>
      <c r="B377" s="387" t="s">
        <v>228</v>
      </c>
      <c r="C377" s="117"/>
      <c r="D377" s="391">
        <v>76</v>
      </c>
      <c r="E377" s="117" t="s">
        <v>845</v>
      </c>
    </row>
    <row r="378" spans="1:5" x14ac:dyDescent="0.2">
      <c r="A378" s="384" t="s">
        <v>1831</v>
      </c>
      <c r="B378" s="387" t="s">
        <v>229</v>
      </c>
      <c r="C378" s="117"/>
      <c r="D378" s="391">
        <v>86</v>
      </c>
      <c r="E378" s="117" t="s">
        <v>845</v>
      </c>
    </row>
    <row r="379" spans="1:5" x14ac:dyDescent="0.2">
      <c r="A379" s="384" t="s">
        <v>1832</v>
      </c>
      <c r="B379" s="387" t="s">
        <v>230</v>
      </c>
      <c r="C379" s="117"/>
      <c r="D379" s="391">
        <v>97</v>
      </c>
      <c r="E379" s="117" t="s">
        <v>845</v>
      </c>
    </row>
    <row r="380" spans="1:5" x14ac:dyDescent="0.2">
      <c r="A380" s="384" t="s">
        <v>1833</v>
      </c>
      <c r="B380" s="387" t="s">
        <v>231</v>
      </c>
      <c r="C380" s="117"/>
      <c r="D380" s="391">
        <v>110</v>
      </c>
      <c r="E380" s="117" t="s">
        <v>845</v>
      </c>
    </row>
    <row r="381" spans="1:5" x14ac:dyDescent="0.2">
      <c r="A381" s="384" t="s">
        <v>1834</v>
      </c>
      <c r="B381" s="387" t="s">
        <v>232</v>
      </c>
      <c r="C381" s="117"/>
      <c r="D381" s="391">
        <v>110</v>
      </c>
      <c r="E381" s="117" t="s">
        <v>845</v>
      </c>
    </row>
    <row r="382" spans="1:5" x14ac:dyDescent="0.2">
      <c r="A382" s="384" t="s">
        <v>1835</v>
      </c>
      <c r="B382" s="387" t="s">
        <v>233</v>
      </c>
      <c r="C382" s="117"/>
      <c r="D382" s="391">
        <v>140</v>
      </c>
      <c r="E382" s="117" t="s">
        <v>845</v>
      </c>
    </row>
    <row r="383" spans="1:5" x14ac:dyDescent="0.2">
      <c r="A383" s="384" t="s">
        <v>1836</v>
      </c>
      <c r="B383" s="387" t="s">
        <v>234</v>
      </c>
      <c r="C383" s="117"/>
      <c r="D383" s="391">
        <v>154</v>
      </c>
      <c r="E383" s="117" t="s">
        <v>845</v>
      </c>
    </row>
    <row r="384" spans="1:5" x14ac:dyDescent="0.2">
      <c r="A384" s="384" t="s">
        <v>799</v>
      </c>
      <c r="B384" s="387" t="s">
        <v>807</v>
      </c>
      <c r="C384" s="117"/>
      <c r="D384" s="391">
        <v>89</v>
      </c>
      <c r="E384" s="117" t="s">
        <v>845</v>
      </c>
    </row>
    <row r="385" spans="1:5" x14ac:dyDescent="0.2">
      <c r="A385" s="384" t="s">
        <v>800</v>
      </c>
      <c r="B385" s="387" t="s">
        <v>808</v>
      </c>
      <c r="C385" s="117"/>
      <c r="D385" s="391">
        <v>86</v>
      </c>
      <c r="E385" s="117" t="s">
        <v>845</v>
      </c>
    </row>
    <row r="386" spans="1:5" x14ac:dyDescent="0.2">
      <c r="A386" s="384" t="s">
        <v>801</v>
      </c>
      <c r="B386" s="387" t="s">
        <v>809</v>
      </c>
      <c r="C386" s="117"/>
      <c r="D386" s="391">
        <v>108</v>
      </c>
      <c r="E386" s="117" t="s">
        <v>845</v>
      </c>
    </row>
    <row r="387" spans="1:5" x14ac:dyDescent="0.2">
      <c r="A387" s="384" t="s">
        <v>802</v>
      </c>
      <c r="B387" s="387" t="s">
        <v>810</v>
      </c>
      <c r="C387" s="117"/>
      <c r="D387" s="391">
        <v>117</v>
      </c>
      <c r="E387" s="117" t="s">
        <v>845</v>
      </c>
    </row>
    <row r="388" spans="1:5" x14ac:dyDescent="0.2">
      <c r="A388" s="384" t="s">
        <v>803</v>
      </c>
      <c r="B388" s="387" t="s">
        <v>811</v>
      </c>
      <c r="C388" s="117"/>
      <c r="D388" s="391">
        <v>132</v>
      </c>
      <c r="E388" s="117" t="s">
        <v>845</v>
      </c>
    </row>
    <row r="389" spans="1:5" x14ac:dyDescent="0.2">
      <c r="A389" s="384" t="s">
        <v>804</v>
      </c>
      <c r="B389" s="387" t="s">
        <v>812</v>
      </c>
      <c r="C389" s="117"/>
      <c r="D389" s="391">
        <v>130</v>
      </c>
      <c r="E389" s="117" t="s">
        <v>845</v>
      </c>
    </row>
    <row r="390" spans="1:5" x14ac:dyDescent="0.2">
      <c r="A390" s="384" t="s">
        <v>805</v>
      </c>
      <c r="B390" s="387" t="s">
        <v>813</v>
      </c>
      <c r="C390" s="117"/>
      <c r="D390" s="391">
        <v>163</v>
      </c>
      <c r="E390" s="117" t="s">
        <v>845</v>
      </c>
    </row>
    <row r="391" spans="1:5" x14ac:dyDescent="0.2">
      <c r="A391" s="384" t="s">
        <v>806</v>
      </c>
      <c r="B391" s="387" t="s">
        <v>814</v>
      </c>
      <c r="C391" s="117"/>
      <c r="D391" s="391">
        <v>181</v>
      </c>
      <c r="E391" s="117" t="s">
        <v>845</v>
      </c>
    </row>
    <row r="392" spans="1:5" x14ac:dyDescent="0.2">
      <c r="A392" s="384" t="s">
        <v>1895</v>
      </c>
      <c r="B392" s="495" t="s">
        <v>1896</v>
      </c>
      <c r="C392" s="117"/>
      <c r="D392" s="758">
        <v>20</v>
      </c>
      <c r="E392" s="117" t="s">
        <v>845</v>
      </c>
    </row>
    <row r="393" spans="1:5" x14ac:dyDescent="0.2">
      <c r="A393" s="384" t="s">
        <v>1248</v>
      </c>
      <c r="B393" s="387" t="s">
        <v>235</v>
      </c>
      <c r="C393" s="117"/>
      <c r="D393" s="391">
        <v>0.2</v>
      </c>
      <c r="E393" s="117" t="s">
        <v>845</v>
      </c>
    </row>
    <row r="394" spans="1:5" x14ac:dyDescent="0.2">
      <c r="A394" s="384" t="s">
        <v>1259</v>
      </c>
      <c r="B394" s="387" t="s">
        <v>236</v>
      </c>
      <c r="C394" s="117"/>
      <c r="D394" s="391">
        <v>0.2</v>
      </c>
      <c r="E394" s="117" t="s">
        <v>845</v>
      </c>
    </row>
    <row r="395" spans="1:5" x14ac:dyDescent="0.2">
      <c r="A395" s="384" t="s">
        <v>1293</v>
      </c>
      <c r="B395" s="387" t="s">
        <v>237</v>
      </c>
      <c r="C395" s="117"/>
      <c r="D395" s="391">
        <v>0.25</v>
      </c>
      <c r="E395" s="117" t="s">
        <v>845</v>
      </c>
    </row>
    <row r="396" spans="1:5" x14ac:dyDescent="0.2">
      <c r="A396" s="384" t="s">
        <v>1249</v>
      </c>
      <c r="B396" s="387" t="s">
        <v>238</v>
      </c>
      <c r="C396" s="117"/>
      <c r="D396" s="391">
        <v>0.25</v>
      </c>
      <c r="E396" s="117" t="s">
        <v>845</v>
      </c>
    </row>
    <row r="397" spans="1:5" x14ac:dyDescent="0.2">
      <c r="A397" s="384" t="s">
        <v>1266</v>
      </c>
      <c r="B397" s="387" t="s">
        <v>239</v>
      </c>
      <c r="C397" s="117"/>
      <c r="D397" s="391">
        <v>3.7</v>
      </c>
      <c r="E397" s="117" t="s">
        <v>845</v>
      </c>
    </row>
    <row r="398" spans="1:5" x14ac:dyDescent="0.2">
      <c r="A398" s="384" t="s">
        <v>1265</v>
      </c>
      <c r="B398" s="387" t="s">
        <v>240</v>
      </c>
      <c r="C398" s="117"/>
      <c r="D398" s="391">
        <v>4.7</v>
      </c>
      <c r="E398" s="117" t="s">
        <v>845</v>
      </c>
    </row>
    <row r="399" spans="1:5" x14ac:dyDescent="0.2">
      <c r="A399" s="384" t="s">
        <v>2222</v>
      </c>
      <c r="B399" s="550" t="s">
        <v>2224</v>
      </c>
      <c r="C399" s="117"/>
      <c r="D399" s="391">
        <v>0.55000000000000004</v>
      </c>
      <c r="E399" s="117" t="s">
        <v>845</v>
      </c>
    </row>
    <row r="400" spans="1:5" x14ac:dyDescent="0.2">
      <c r="A400" s="384" t="s">
        <v>1263</v>
      </c>
      <c r="B400" s="387" t="s">
        <v>241</v>
      </c>
      <c r="C400" s="117"/>
      <c r="D400" s="391">
        <v>0.55000000000000004</v>
      </c>
      <c r="E400" s="117" t="s">
        <v>845</v>
      </c>
    </row>
    <row r="401" spans="1:5" x14ac:dyDescent="0.2">
      <c r="A401" s="384" t="s">
        <v>1261</v>
      </c>
      <c r="B401" s="387" t="s">
        <v>242</v>
      </c>
      <c r="C401" s="117"/>
      <c r="D401" s="391">
        <v>0.3</v>
      </c>
      <c r="E401" s="117" t="s">
        <v>845</v>
      </c>
    </row>
    <row r="402" spans="1:5" x14ac:dyDescent="0.2">
      <c r="A402" s="384" t="s">
        <v>1250</v>
      </c>
      <c r="B402" s="387" t="s">
        <v>243</v>
      </c>
      <c r="C402" s="117"/>
      <c r="D402" s="391">
        <v>0.5</v>
      </c>
      <c r="E402" s="117" t="s">
        <v>845</v>
      </c>
    </row>
    <row r="403" spans="1:5" x14ac:dyDescent="0.2">
      <c r="A403" s="384" t="s">
        <v>1258</v>
      </c>
      <c r="B403" s="387" t="s">
        <v>244</v>
      </c>
      <c r="C403" s="117"/>
      <c r="D403" s="391">
        <v>0.95</v>
      </c>
      <c r="E403" s="117" t="s">
        <v>845</v>
      </c>
    </row>
    <row r="404" spans="1:5" x14ac:dyDescent="0.2">
      <c r="A404" s="384" t="s">
        <v>255</v>
      </c>
      <c r="B404" s="387" t="s">
        <v>256</v>
      </c>
      <c r="C404" s="117"/>
      <c r="D404" s="391">
        <v>25.7</v>
      </c>
      <c r="E404" s="117" t="s">
        <v>845</v>
      </c>
    </row>
    <row r="405" spans="1:5" x14ac:dyDescent="0.2">
      <c r="A405" s="384" t="s">
        <v>1260</v>
      </c>
      <c r="B405" s="387" t="s">
        <v>245</v>
      </c>
      <c r="C405" s="117"/>
      <c r="D405" s="391">
        <v>2.9</v>
      </c>
      <c r="E405" s="117" t="s">
        <v>845</v>
      </c>
    </row>
    <row r="406" spans="1:5" x14ac:dyDescent="0.2">
      <c r="A406" s="384" t="s">
        <v>2223</v>
      </c>
      <c r="B406" s="550" t="s">
        <v>2225</v>
      </c>
      <c r="C406" s="117"/>
      <c r="D406" s="391">
        <v>5.35</v>
      </c>
      <c r="E406" s="117" t="s">
        <v>845</v>
      </c>
    </row>
    <row r="407" spans="1:5" x14ac:dyDescent="0.2">
      <c r="A407" s="384" t="s">
        <v>251</v>
      </c>
      <c r="B407" s="387" t="s">
        <v>252</v>
      </c>
      <c r="C407" s="117"/>
      <c r="D407" s="391">
        <v>5.35</v>
      </c>
      <c r="E407" s="117" t="s">
        <v>845</v>
      </c>
    </row>
    <row r="408" spans="1:5" x14ac:dyDescent="0.2">
      <c r="A408" s="384" t="s">
        <v>438</v>
      </c>
      <c r="B408" s="387" t="s">
        <v>439</v>
      </c>
      <c r="C408" s="117"/>
      <c r="D408" s="391">
        <v>49</v>
      </c>
      <c r="E408" s="117" t="s">
        <v>846</v>
      </c>
    </row>
    <row r="409" spans="1:5" x14ac:dyDescent="0.2">
      <c r="A409" s="384" t="s">
        <v>440</v>
      </c>
      <c r="B409" s="387" t="s">
        <v>441</v>
      </c>
      <c r="C409" s="117"/>
      <c r="D409" s="391">
        <v>2</v>
      </c>
      <c r="E409" s="117" t="s">
        <v>845</v>
      </c>
    </row>
    <row r="410" spans="1:5" x14ac:dyDescent="0.2">
      <c r="A410" s="384" t="s">
        <v>1175</v>
      </c>
      <c r="B410" s="387" t="s">
        <v>426</v>
      </c>
      <c r="C410" s="117"/>
      <c r="D410" s="391">
        <v>20</v>
      </c>
      <c r="E410" s="117" t="s">
        <v>845</v>
      </c>
    </row>
    <row r="411" spans="1:5" x14ac:dyDescent="0.2">
      <c r="A411" s="384" t="s">
        <v>1176</v>
      </c>
      <c r="B411" s="387" t="s">
        <v>427</v>
      </c>
      <c r="C411" s="117"/>
      <c r="D411" s="391">
        <v>20</v>
      </c>
      <c r="E411" s="117" t="s">
        <v>845</v>
      </c>
    </row>
    <row r="412" spans="1:5" x14ac:dyDescent="0.2">
      <c r="A412" s="384" t="s">
        <v>1177</v>
      </c>
      <c r="B412" s="387" t="s">
        <v>428</v>
      </c>
      <c r="C412" s="117"/>
      <c r="D412" s="391">
        <v>20</v>
      </c>
      <c r="E412" s="117" t="s">
        <v>845</v>
      </c>
    </row>
    <row r="413" spans="1:5" x14ac:dyDescent="0.2">
      <c r="A413" s="384" t="s">
        <v>1178</v>
      </c>
      <c r="B413" s="387" t="s">
        <v>429</v>
      </c>
      <c r="C413" s="117"/>
      <c r="D413" s="391">
        <v>20</v>
      </c>
      <c r="E413" s="117" t="s">
        <v>845</v>
      </c>
    </row>
    <row r="414" spans="1:5" x14ac:dyDescent="0.2">
      <c r="A414" s="384" t="s">
        <v>1179</v>
      </c>
      <c r="B414" s="387" t="s">
        <v>430</v>
      </c>
      <c r="C414" s="117"/>
      <c r="D414" s="391">
        <v>20</v>
      </c>
      <c r="E414" s="117" t="s">
        <v>845</v>
      </c>
    </row>
    <row r="415" spans="1:5" x14ac:dyDescent="0.2">
      <c r="A415" s="384" t="s">
        <v>1180</v>
      </c>
      <c r="B415" s="387" t="s">
        <v>431</v>
      </c>
      <c r="C415" s="117"/>
      <c r="D415" s="391">
        <v>20</v>
      </c>
      <c r="E415" s="117" t="s">
        <v>845</v>
      </c>
    </row>
    <row r="416" spans="1:5" x14ac:dyDescent="0.2">
      <c r="A416" s="384" t="s">
        <v>1181</v>
      </c>
      <c r="B416" s="387" t="s">
        <v>432</v>
      </c>
      <c r="C416" s="117"/>
      <c r="D416" s="391">
        <v>20</v>
      </c>
      <c r="E416" s="117" t="s">
        <v>845</v>
      </c>
    </row>
    <row r="417" spans="1:5" x14ac:dyDescent="0.2">
      <c r="A417" s="384" t="s">
        <v>1182</v>
      </c>
      <c r="B417" s="387" t="s">
        <v>433</v>
      </c>
      <c r="C417" s="117"/>
      <c r="D417" s="391">
        <v>20</v>
      </c>
      <c r="E417" s="117" t="s">
        <v>845</v>
      </c>
    </row>
    <row r="418" spans="1:5" x14ac:dyDescent="0.2">
      <c r="A418" s="384" t="s">
        <v>1183</v>
      </c>
      <c r="B418" s="387" t="s">
        <v>434</v>
      </c>
      <c r="C418" s="117"/>
      <c r="D418" s="391">
        <v>20</v>
      </c>
      <c r="E418" s="117" t="s">
        <v>845</v>
      </c>
    </row>
    <row r="419" spans="1:5" x14ac:dyDescent="0.2">
      <c r="A419" s="384" t="s">
        <v>1196</v>
      </c>
      <c r="B419" s="387" t="s">
        <v>435</v>
      </c>
      <c r="C419" s="117"/>
      <c r="D419" s="391">
        <v>20</v>
      </c>
      <c r="E419" s="117" t="s">
        <v>845</v>
      </c>
    </row>
    <row r="420" spans="1:5" x14ac:dyDescent="0.2">
      <c r="A420" s="384" t="s">
        <v>1185</v>
      </c>
      <c r="B420" s="387" t="s">
        <v>436</v>
      </c>
      <c r="C420" s="117"/>
      <c r="D420" s="391">
        <v>25</v>
      </c>
      <c r="E420" s="117" t="s">
        <v>845</v>
      </c>
    </row>
    <row r="421" spans="1:5" x14ac:dyDescent="0.2">
      <c r="A421" s="384" t="s">
        <v>1184</v>
      </c>
      <c r="B421" s="387" t="s">
        <v>437</v>
      </c>
      <c r="C421" s="117"/>
      <c r="D421" s="391">
        <v>25</v>
      </c>
      <c r="E421" s="117" t="s">
        <v>845</v>
      </c>
    </row>
    <row r="422" spans="1:5" x14ac:dyDescent="0.2">
      <c r="A422" s="384" t="s">
        <v>1325</v>
      </c>
      <c r="B422" s="387" t="s">
        <v>246</v>
      </c>
      <c r="C422" s="117"/>
      <c r="D422" s="391">
        <v>1.6</v>
      </c>
      <c r="E422" s="117" t="s">
        <v>845</v>
      </c>
    </row>
    <row r="423" spans="1:5" x14ac:dyDescent="0.2">
      <c r="A423" s="384" t="s">
        <v>1206</v>
      </c>
      <c r="B423" s="387" t="s">
        <v>247</v>
      </c>
      <c r="C423" s="117"/>
      <c r="D423" s="391">
        <v>1.6</v>
      </c>
      <c r="E423" s="117" t="s">
        <v>845</v>
      </c>
    </row>
    <row r="424" spans="1:5" x14ac:dyDescent="0.2">
      <c r="A424" s="384" t="s">
        <v>1247</v>
      </c>
      <c r="B424" s="387" t="s">
        <v>248</v>
      </c>
      <c r="C424" s="117"/>
      <c r="D424" s="391">
        <v>2.5</v>
      </c>
      <c r="E424" s="117" t="s">
        <v>845</v>
      </c>
    </row>
    <row r="425" spans="1:5" x14ac:dyDescent="0.2">
      <c r="A425" s="384" t="s">
        <v>1267</v>
      </c>
      <c r="B425" s="387" t="s">
        <v>249</v>
      </c>
      <c r="C425" s="117"/>
      <c r="D425" s="391">
        <v>1.3</v>
      </c>
      <c r="E425" s="117" t="s">
        <v>845</v>
      </c>
    </row>
    <row r="426" spans="1:5" x14ac:dyDescent="0.2">
      <c r="A426" s="384" t="s">
        <v>1256</v>
      </c>
      <c r="B426" s="387" t="s">
        <v>250</v>
      </c>
      <c r="C426" s="117"/>
      <c r="D426" s="391">
        <v>1.85</v>
      </c>
      <c r="E426" s="117" t="s">
        <v>845</v>
      </c>
    </row>
    <row r="427" spans="1:5" x14ac:dyDescent="0.2">
      <c r="A427" s="383" t="s">
        <v>1371</v>
      </c>
      <c r="B427" s="387" t="s">
        <v>1416</v>
      </c>
      <c r="C427" s="117"/>
      <c r="D427" s="391">
        <v>766</v>
      </c>
      <c r="E427" s="117" t="s">
        <v>845</v>
      </c>
    </row>
    <row r="428" spans="1:5" x14ac:dyDescent="0.2">
      <c r="A428" s="383" t="s">
        <v>1372</v>
      </c>
      <c r="B428" s="387" t="s">
        <v>1417</v>
      </c>
      <c r="C428" s="117"/>
      <c r="D428" s="391">
        <v>766</v>
      </c>
      <c r="E428" s="117" t="s">
        <v>845</v>
      </c>
    </row>
    <row r="429" spans="1:5" x14ac:dyDescent="0.2">
      <c r="A429" s="383" t="s">
        <v>1373</v>
      </c>
      <c r="B429" s="387" t="s">
        <v>1418</v>
      </c>
      <c r="C429" s="117"/>
      <c r="D429" s="391">
        <v>766</v>
      </c>
      <c r="E429" s="117" t="s">
        <v>845</v>
      </c>
    </row>
    <row r="430" spans="1:5" x14ac:dyDescent="0.2">
      <c r="A430" s="383" t="s">
        <v>1374</v>
      </c>
      <c r="B430" s="387" t="s">
        <v>1419</v>
      </c>
      <c r="C430" s="117"/>
      <c r="D430" s="391">
        <v>731</v>
      </c>
      <c r="E430" s="117" t="s">
        <v>845</v>
      </c>
    </row>
    <row r="431" spans="1:5" x14ac:dyDescent="0.2">
      <c r="A431" s="383" t="s">
        <v>1375</v>
      </c>
      <c r="B431" s="387" t="s">
        <v>1420</v>
      </c>
      <c r="C431" s="117"/>
      <c r="D431" s="391">
        <v>731</v>
      </c>
      <c r="E431" s="117" t="s">
        <v>845</v>
      </c>
    </row>
    <row r="432" spans="1:5" x14ac:dyDescent="0.2">
      <c r="A432" s="383" t="s">
        <v>1376</v>
      </c>
      <c r="B432" s="387" t="s">
        <v>1421</v>
      </c>
      <c r="C432" s="117"/>
      <c r="D432" s="391">
        <v>731</v>
      </c>
      <c r="E432" s="117" t="s">
        <v>845</v>
      </c>
    </row>
    <row r="433" spans="1:5" x14ac:dyDescent="0.2">
      <c r="A433" s="383" t="s">
        <v>1377</v>
      </c>
      <c r="B433" s="387" t="s">
        <v>1422</v>
      </c>
      <c r="C433" s="117"/>
      <c r="D433" s="391">
        <v>731</v>
      </c>
      <c r="E433" s="117" t="s">
        <v>845</v>
      </c>
    </row>
    <row r="434" spans="1:5" x14ac:dyDescent="0.2">
      <c r="A434" s="383" t="s">
        <v>1378</v>
      </c>
      <c r="B434" s="387" t="s">
        <v>1423</v>
      </c>
      <c r="C434" s="117"/>
      <c r="D434" s="391">
        <v>965</v>
      </c>
      <c r="E434" s="117" t="s">
        <v>845</v>
      </c>
    </row>
    <row r="435" spans="1:5" x14ac:dyDescent="0.2">
      <c r="A435" s="383" t="s">
        <v>1379</v>
      </c>
      <c r="B435" s="387" t="s">
        <v>1424</v>
      </c>
      <c r="C435" s="117"/>
      <c r="D435" s="391">
        <v>965</v>
      </c>
      <c r="E435" s="117" t="s">
        <v>845</v>
      </c>
    </row>
    <row r="436" spans="1:5" x14ac:dyDescent="0.2">
      <c r="A436" s="383" t="s">
        <v>1380</v>
      </c>
      <c r="B436" s="387" t="s">
        <v>1425</v>
      </c>
      <c r="C436" s="117"/>
      <c r="D436" s="391">
        <v>965</v>
      </c>
      <c r="E436" s="117" t="s">
        <v>845</v>
      </c>
    </row>
    <row r="437" spans="1:5" x14ac:dyDescent="0.2">
      <c r="A437" s="383" t="s">
        <v>1381</v>
      </c>
      <c r="B437" s="387" t="s">
        <v>1426</v>
      </c>
      <c r="C437" s="117"/>
      <c r="D437" s="391">
        <v>965</v>
      </c>
      <c r="E437" s="117" t="s">
        <v>845</v>
      </c>
    </row>
    <row r="438" spans="1:5" x14ac:dyDescent="0.2">
      <c r="A438" s="383" t="s">
        <v>1382</v>
      </c>
      <c r="B438" s="387" t="s">
        <v>1427</v>
      </c>
      <c r="C438" s="117"/>
      <c r="D438" s="391">
        <v>965</v>
      </c>
      <c r="E438" s="117" t="s">
        <v>845</v>
      </c>
    </row>
    <row r="439" spans="1:5" x14ac:dyDescent="0.2">
      <c r="A439" s="383" t="s">
        <v>1383</v>
      </c>
      <c r="B439" s="387" t="s">
        <v>1428</v>
      </c>
      <c r="C439" s="117"/>
      <c r="D439" s="391">
        <v>926</v>
      </c>
      <c r="E439" s="117" t="s">
        <v>845</v>
      </c>
    </row>
    <row r="440" spans="1:5" x14ac:dyDescent="0.2">
      <c r="A440" s="383" t="s">
        <v>1384</v>
      </c>
      <c r="B440" s="387" t="s">
        <v>1429</v>
      </c>
      <c r="C440" s="117"/>
      <c r="D440" s="391">
        <v>926</v>
      </c>
      <c r="E440" s="117" t="s">
        <v>845</v>
      </c>
    </row>
    <row r="441" spans="1:5" x14ac:dyDescent="0.2">
      <c r="A441" s="383" t="s">
        <v>1385</v>
      </c>
      <c r="B441" s="387" t="s">
        <v>1430</v>
      </c>
      <c r="C441" s="117"/>
      <c r="D441" s="391">
        <v>926</v>
      </c>
      <c r="E441" s="117" t="s">
        <v>845</v>
      </c>
    </row>
    <row r="442" spans="1:5" x14ac:dyDescent="0.2">
      <c r="A442" s="383" t="s">
        <v>1386</v>
      </c>
      <c r="B442" s="387" t="s">
        <v>1431</v>
      </c>
      <c r="C442" s="117"/>
      <c r="D442" s="391">
        <v>926</v>
      </c>
      <c r="E442" s="117" t="s">
        <v>845</v>
      </c>
    </row>
    <row r="443" spans="1:5" x14ac:dyDescent="0.2">
      <c r="A443" s="383" t="s">
        <v>1387</v>
      </c>
      <c r="B443" s="387" t="s">
        <v>1432</v>
      </c>
      <c r="C443" s="117"/>
      <c r="D443" s="391">
        <v>926</v>
      </c>
      <c r="E443" s="117" t="s">
        <v>845</v>
      </c>
    </row>
    <row r="444" spans="1:5" x14ac:dyDescent="0.2">
      <c r="A444" s="383" t="s">
        <v>1388</v>
      </c>
      <c r="B444" s="387" t="s">
        <v>1433</v>
      </c>
      <c r="C444" s="117"/>
      <c r="D444" s="391">
        <v>851</v>
      </c>
      <c r="E444" s="117" t="s">
        <v>845</v>
      </c>
    </row>
    <row r="445" spans="1:5" x14ac:dyDescent="0.2">
      <c r="A445" s="383" t="s">
        <v>1389</v>
      </c>
      <c r="B445" s="387" t="s">
        <v>1434</v>
      </c>
      <c r="C445" s="117"/>
      <c r="D445" s="391">
        <v>851</v>
      </c>
      <c r="E445" s="117" t="s">
        <v>845</v>
      </c>
    </row>
    <row r="446" spans="1:5" x14ac:dyDescent="0.2">
      <c r="A446" s="383" t="s">
        <v>1390</v>
      </c>
      <c r="B446" s="387" t="s">
        <v>1435</v>
      </c>
      <c r="C446" s="117"/>
      <c r="D446" s="391">
        <v>851</v>
      </c>
      <c r="E446" s="117" t="s">
        <v>845</v>
      </c>
    </row>
    <row r="447" spans="1:5" x14ac:dyDescent="0.2">
      <c r="A447" s="383" t="s">
        <v>1391</v>
      </c>
      <c r="B447" s="387" t="s">
        <v>1436</v>
      </c>
      <c r="C447" s="117"/>
      <c r="D447" s="391">
        <v>1264</v>
      </c>
      <c r="E447" s="117" t="s">
        <v>845</v>
      </c>
    </row>
    <row r="448" spans="1:5" x14ac:dyDescent="0.2">
      <c r="A448" s="383" t="s">
        <v>1392</v>
      </c>
      <c r="B448" s="387" t="s">
        <v>1437</v>
      </c>
      <c r="C448" s="117"/>
      <c r="D448" s="391">
        <v>1204</v>
      </c>
      <c r="E448" s="117" t="s">
        <v>845</v>
      </c>
    </row>
    <row r="449" spans="1:5" x14ac:dyDescent="0.2">
      <c r="A449" s="383" t="s">
        <v>1393</v>
      </c>
      <c r="B449" s="387" t="s">
        <v>1438</v>
      </c>
      <c r="C449" s="117"/>
      <c r="D449" s="391">
        <v>1204</v>
      </c>
      <c r="E449" s="117" t="s">
        <v>845</v>
      </c>
    </row>
    <row r="450" spans="1:5" x14ac:dyDescent="0.2">
      <c r="A450" s="383" t="s">
        <v>1394</v>
      </c>
      <c r="B450" s="387" t="s">
        <v>1439</v>
      </c>
      <c r="C450" s="117"/>
      <c r="D450" s="391">
        <v>1421</v>
      </c>
      <c r="E450" s="117" t="s">
        <v>845</v>
      </c>
    </row>
    <row r="451" spans="1:5" x14ac:dyDescent="0.2">
      <c r="A451" s="383" t="s">
        <v>1395</v>
      </c>
      <c r="B451" s="387" t="s">
        <v>1440</v>
      </c>
      <c r="C451" s="117"/>
      <c r="D451" s="391">
        <v>1421</v>
      </c>
      <c r="E451" s="117" t="s">
        <v>845</v>
      </c>
    </row>
    <row r="452" spans="1:5" x14ac:dyDescent="0.2">
      <c r="A452" s="383" t="s">
        <v>1396</v>
      </c>
      <c r="B452" s="387" t="s">
        <v>1441</v>
      </c>
      <c r="C452" s="117"/>
      <c r="D452" s="391">
        <v>1359</v>
      </c>
      <c r="E452" s="117" t="s">
        <v>845</v>
      </c>
    </row>
    <row r="453" spans="1:5" x14ac:dyDescent="0.2">
      <c r="A453" s="383" t="s">
        <v>2228</v>
      </c>
      <c r="B453" s="550" t="s">
        <v>2240</v>
      </c>
      <c r="C453" s="117"/>
      <c r="D453" s="391">
        <v>604</v>
      </c>
      <c r="E453" s="117" t="s">
        <v>845</v>
      </c>
    </row>
    <row r="454" spans="1:5" x14ac:dyDescent="0.2">
      <c r="A454" s="383" t="s">
        <v>2229</v>
      </c>
      <c r="B454" s="550" t="s">
        <v>2241</v>
      </c>
      <c r="C454" s="117"/>
      <c r="D454" s="391">
        <v>604</v>
      </c>
      <c r="E454" s="117" t="s">
        <v>845</v>
      </c>
    </row>
    <row r="455" spans="1:5" x14ac:dyDescent="0.2">
      <c r="A455" s="383" t="s">
        <v>2230</v>
      </c>
      <c r="B455" s="550" t="s">
        <v>2242</v>
      </c>
      <c r="C455" s="117"/>
      <c r="D455" s="391">
        <v>604</v>
      </c>
      <c r="E455" s="117" t="s">
        <v>845</v>
      </c>
    </row>
    <row r="456" spans="1:5" x14ac:dyDescent="0.2">
      <c r="A456" s="383" t="s">
        <v>2231</v>
      </c>
      <c r="B456" s="550" t="s">
        <v>2243</v>
      </c>
      <c r="C456" s="117"/>
      <c r="D456" s="391">
        <v>577</v>
      </c>
      <c r="E456" s="117" t="s">
        <v>845</v>
      </c>
    </row>
    <row r="457" spans="1:5" x14ac:dyDescent="0.2">
      <c r="A457" s="383" t="s">
        <v>2232</v>
      </c>
      <c r="B457" s="550" t="s">
        <v>2244</v>
      </c>
      <c r="C457" s="117"/>
      <c r="D457" s="391">
        <v>577</v>
      </c>
      <c r="E457" s="117" t="s">
        <v>845</v>
      </c>
    </row>
    <row r="458" spans="1:5" x14ac:dyDescent="0.2">
      <c r="A458" s="383" t="s">
        <v>2233</v>
      </c>
      <c r="B458" s="550" t="s">
        <v>2245</v>
      </c>
      <c r="C458" s="117"/>
      <c r="D458" s="391">
        <v>577</v>
      </c>
      <c r="E458" s="117" t="s">
        <v>845</v>
      </c>
    </row>
    <row r="459" spans="1:5" x14ac:dyDescent="0.2">
      <c r="A459" s="383" t="s">
        <v>2234</v>
      </c>
      <c r="B459" s="550" t="s">
        <v>2246</v>
      </c>
      <c r="C459" s="117"/>
      <c r="D459" s="391">
        <v>577</v>
      </c>
      <c r="E459" s="117" t="s">
        <v>845</v>
      </c>
    </row>
    <row r="460" spans="1:5" x14ac:dyDescent="0.2">
      <c r="A460" s="383" t="s">
        <v>2235</v>
      </c>
      <c r="B460" s="550" t="s">
        <v>2247</v>
      </c>
      <c r="C460" s="117"/>
      <c r="D460" s="391">
        <v>577</v>
      </c>
      <c r="E460" s="117" t="s">
        <v>845</v>
      </c>
    </row>
    <row r="461" spans="1:5" x14ac:dyDescent="0.2">
      <c r="A461" s="383" t="s">
        <v>2236</v>
      </c>
      <c r="B461" s="550" t="s">
        <v>2248</v>
      </c>
      <c r="C461" s="117"/>
      <c r="D461" s="391">
        <v>577</v>
      </c>
      <c r="E461" s="117" t="s">
        <v>845</v>
      </c>
    </row>
    <row r="462" spans="1:5" x14ac:dyDescent="0.2">
      <c r="A462" s="383" t="s">
        <v>2237</v>
      </c>
      <c r="B462" s="550" t="s">
        <v>2249</v>
      </c>
      <c r="C462" s="117"/>
      <c r="D462" s="391">
        <v>577</v>
      </c>
      <c r="E462" s="117" t="s">
        <v>845</v>
      </c>
    </row>
    <row r="463" spans="1:5" x14ac:dyDescent="0.2">
      <c r="A463" s="383" t="s">
        <v>2238</v>
      </c>
      <c r="B463" s="550" t="s">
        <v>2250</v>
      </c>
      <c r="C463" s="117"/>
      <c r="D463" s="391">
        <v>577</v>
      </c>
      <c r="E463" s="117" t="s">
        <v>845</v>
      </c>
    </row>
    <row r="464" spans="1:5" x14ac:dyDescent="0.2">
      <c r="A464" s="383" t="s">
        <v>2239</v>
      </c>
      <c r="B464" s="550" t="s">
        <v>2251</v>
      </c>
      <c r="C464" s="117"/>
      <c r="D464" s="391">
        <v>577</v>
      </c>
      <c r="E464" s="117" t="s">
        <v>845</v>
      </c>
    </row>
    <row r="465" spans="1:5" x14ac:dyDescent="0.2">
      <c r="A465" s="757" t="s">
        <v>2287</v>
      </c>
      <c r="B465" s="387" t="s">
        <v>2297</v>
      </c>
      <c r="C465" s="117"/>
      <c r="D465" s="391">
        <v>788</v>
      </c>
      <c r="E465" s="117" t="s">
        <v>845</v>
      </c>
    </row>
    <row r="466" spans="1:5" x14ac:dyDescent="0.2">
      <c r="A466" s="757" t="s">
        <v>2289</v>
      </c>
      <c r="B466" s="387" t="s">
        <v>2298</v>
      </c>
      <c r="C466" s="117"/>
      <c r="D466" s="391">
        <v>788</v>
      </c>
      <c r="E466" s="117" t="s">
        <v>845</v>
      </c>
    </row>
    <row r="467" spans="1:5" x14ac:dyDescent="0.2">
      <c r="A467" s="757" t="s">
        <v>2288</v>
      </c>
      <c r="B467" s="387" t="s">
        <v>2299</v>
      </c>
      <c r="C467" s="117"/>
      <c r="D467" s="391">
        <v>788</v>
      </c>
      <c r="E467" s="117" t="s">
        <v>845</v>
      </c>
    </row>
    <row r="468" spans="1:5" x14ac:dyDescent="0.2">
      <c r="A468" s="757" t="s">
        <v>2290</v>
      </c>
      <c r="B468" s="387" t="s">
        <v>2300</v>
      </c>
      <c r="C468" s="117"/>
      <c r="D468" s="758">
        <v>759</v>
      </c>
      <c r="E468" s="117" t="s">
        <v>845</v>
      </c>
    </row>
    <row r="469" spans="1:5" x14ac:dyDescent="0.2">
      <c r="A469" s="757" t="s">
        <v>2291</v>
      </c>
      <c r="B469" s="387" t="s">
        <v>2301</v>
      </c>
      <c r="C469" s="117"/>
      <c r="D469" s="758">
        <v>759</v>
      </c>
      <c r="E469" s="117" t="s">
        <v>845</v>
      </c>
    </row>
    <row r="470" spans="1:5" x14ac:dyDescent="0.2">
      <c r="A470" s="757" t="s">
        <v>2292</v>
      </c>
      <c r="B470" s="387" t="s">
        <v>2302</v>
      </c>
      <c r="C470" s="117"/>
      <c r="D470" s="758">
        <v>759</v>
      </c>
      <c r="E470" s="117" t="s">
        <v>845</v>
      </c>
    </row>
    <row r="471" spans="1:5" x14ac:dyDescent="0.2">
      <c r="A471" s="757" t="s">
        <v>2293</v>
      </c>
      <c r="B471" s="387" t="s">
        <v>2303</v>
      </c>
      <c r="C471" s="117"/>
      <c r="D471" s="758">
        <v>759</v>
      </c>
      <c r="E471" s="117" t="s">
        <v>845</v>
      </c>
    </row>
    <row r="472" spans="1:5" x14ac:dyDescent="0.2">
      <c r="A472" s="757" t="s">
        <v>2294</v>
      </c>
      <c r="B472" s="387" t="s">
        <v>2304</v>
      </c>
      <c r="C472" s="117"/>
      <c r="D472" s="758">
        <v>759</v>
      </c>
      <c r="E472" s="117" t="s">
        <v>845</v>
      </c>
    </row>
    <row r="473" spans="1:5" x14ac:dyDescent="0.2">
      <c r="A473" s="757" t="s">
        <v>2295</v>
      </c>
      <c r="B473" s="387" t="s">
        <v>2305</v>
      </c>
      <c r="C473" s="117"/>
      <c r="D473" s="758">
        <v>759</v>
      </c>
      <c r="E473" s="117" t="s">
        <v>845</v>
      </c>
    </row>
    <row r="474" spans="1:5" x14ac:dyDescent="0.2">
      <c r="A474" s="757" t="s">
        <v>2296</v>
      </c>
      <c r="B474" s="387" t="s">
        <v>2306</v>
      </c>
      <c r="C474" s="117"/>
      <c r="D474" s="758">
        <v>759</v>
      </c>
      <c r="E474" s="117" t="s">
        <v>845</v>
      </c>
    </row>
    <row r="475" spans="1:5" x14ac:dyDescent="0.2">
      <c r="A475" s="383" t="s">
        <v>1397</v>
      </c>
      <c r="B475" s="387" t="s">
        <v>1442</v>
      </c>
      <c r="C475" s="117"/>
      <c r="D475" s="391">
        <v>248</v>
      </c>
      <c r="E475" s="117" t="s">
        <v>845</v>
      </c>
    </row>
    <row r="476" spans="1:5" x14ac:dyDescent="0.2">
      <c r="A476" s="383" t="s">
        <v>935</v>
      </c>
      <c r="B476" s="387" t="s">
        <v>261</v>
      </c>
      <c r="D476" s="758">
        <v>282</v>
      </c>
      <c r="E476" s="117" t="s">
        <v>845</v>
      </c>
    </row>
    <row r="477" spans="1:5" x14ac:dyDescent="0.2">
      <c r="A477" s="383" t="s">
        <v>936</v>
      </c>
      <c r="B477" s="387" t="s">
        <v>262</v>
      </c>
      <c r="D477" s="758">
        <v>294</v>
      </c>
      <c r="E477" s="117" t="s">
        <v>845</v>
      </c>
    </row>
    <row r="478" spans="1:5" x14ac:dyDescent="0.2">
      <c r="A478" s="383" t="s">
        <v>1408</v>
      </c>
      <c r="B478" s="387" t="s">
        <v>1641</v>
      </c>
      <c r="D478" s="391">
        <v>5</v>
      </c>
      <c r="E478" s="117" t="s">
        <v>845</v>
      </c>
    </row>
    <row r="479" spans="1:5" x14ac:dyDescent="0.2">
      <c r="A479" s="383" t="s">
        <v>1409</v>
      </c>
      <c r="B479" s="387" t="s">
        <v>1642</v>
      </c>
      <c r="D479" s="391">
        <v>5</v>
      </c>
      <c r="E479" s="117" t="s">
        <v>845</v>
      </c>
    </row>
    <row r="480" spans="1:5" x14ac:dyDescent="0.2">
      <c r="A480" s="383" t="s">
        <v>1410</v>
      </c>
      <c r="B480" s="387" t="s">
        <v>1643</v>
      </c>
      <c r="D480" s="391">
        <v>5</v>
      </c>
      <c r="E480" s="117" t="s">
        <v>845</v>
      </c>
    </row>
    <row r="481" spans="1:5" x14ac:dyDescent="0.2">
      <c r="A481" s="383" t="s">
        <v>1411</v>
      </c>
      <c r="B481" s="387" t="s">
        <v>1644</v>
      </c>
      <c r="D481" s="391">
        <v>5</v>
      </c>
      <c r="E481" s="117" t="s">
        <v>845</v>
      </c>
    </row>
    <row r="482" spans="1:5" x14ac:dyDescent="0.2">
      <c r="A482" s="383" t="s">
        <v>1412</v>
      </c>
      <c r="B482" s="387" t="s">
        <v>1645</v>
      </c>
      <c r="D482" s="391">
        <v>5</v>
      </c>
      <c r="E482" s="117" t="s">
        <v>845</v>
      </c>
    </row>
    <row r="483" spans="1:5" x14ac:dyDescent="0.2">
      <c r="A483" s="383" t="s">
        <v>1413</v>
      </c>
      <c r="B483" s="387" t="s">
        <v>1646</v>
      </c>
      <c r="D483" s="391">
        <v>5</v>
      </c>
      <c r="E483" s="117" t="s">
        <v>845</v>
      </c>
    </row>
    <row r="484" spans="1:5" x14ac:dyDescent="0.2">
      <c r="A484" s="383" t="s">
        <v>1414</v>
      </c>
      <c r="B484" s="387" t="s">
        <v>1647</v>
      </c>
      <c r="D484" s="391">
        <v>5</v>
      </c>
      <c r="E484" s="117" t="s">
        <v>845</v>
      </c>
    </row>
    <row r="485" spans="1:5" x14ac:dyDescent="0.2">
      <c r="A485" s="383" t="s">
        <v>1415</v>
      </c>
      <c r="B485" s="387" t="s">
        <v>1648</v>
      </c>
      <c r="D485" s="391">
        <v>5</v>
      </c>
      <c r="E485" s="117" t="s">
        <v>845</v>
      </c>
    </row>
    <row r="486" spans="1:5" x14ac:dyDescent="0.2">
      <c r="A486" s="383" t="s">
        <v>1400</v>
      </c>
      <c r="B486" s="387" t="s">
        <v>1649</v>
      </c>
      <c r="D486" s="391">
        <v>2.5</v>
      </c>
      <c r="E486" s="117" t="s">
        <v>845</v>
      </c>
    </row>
    <row r="487" spans="1:5" x14ac:dyDescent="0.2">
      <c r="A487" s="383" t="s">
        <v>1399</v>
      </c>
      <c r="B487" s="386" t="s">
        <v>1443</v>
      </c>
      <c r="D487" s="391">
        <v>2.5</v>
      </c>
      <c r="E487" s="117" t="s">
        <v>845</v>
      </c>
    </row>
    <row r="488" spans="1:5" x14ac:dyDescent="0.2">
      <c r="A488" s="383" t="s">
        <v>1401</v>
      </c>
      <c r="B488" s="387" t="s">
        <v>1650</v>
      </c>
      <c r="D488" s="391">
        <v>2.5</v>
      </c>
      <c r="E488" s="117" t="s">
        <v>845</v>
      </c>
    </row>
    <row r="489" spans="1:5" x14ac:dyDescent="0.2">
      <c r="A489" s="383" t="s">
        <v>1402</v>
      </c>
      <c r="B489" s="387" t="s">
        <v>1651</v>
      </c>
      <c r="D489" s="391">
        <v>2.5</v>
      </c>
      <c r="E489" s="117" t="s">
        <v>845</v>
      </c>
    </row>
    <row r="490" spans="1:5" x14ac:dyDescent="0.2">
      <c r="A490" s="383" t="s">
        <v>1403</v>
      </c>
      <c r="B490" s="387" t="s">
        <v>1652</v>
      </c>
      <c r="D490" s="391">
        <v>2.5</v>
      </c>
      <c r="E490" s="117" t="s">
        <v>845</v>
      </c>
    </row>
    <row r="491" spans="1:5" x14ac:dyDescent="0.2">
      <c r="A491" s="383" t="s">
        <v>1404</v>
      </c>
      <c r="B491" s="387" t="s">
        <v>1653</v>
      </c>
      <c r="D491" s="391">
        <v>2.5</v>
      </c>
      <c r="E491" s="117" t="s">
        <v>845</v>
      </c>
    </row>
    <row r="492" spans="1:5" x14ac:dyDescent="0.2">
      <c r="A492" s="383" t="s">
        <v>1405</v>
      </c>
      <c r="B492" s="386" t="s">
        <v>1444</v>
      </c>
      <c r="D492" s="391">
        <v>3</v>
      </c>
      <c r="E492" s="117" t="s">
        <v>845</v>
      </c>
    </row>
    <row r="493" spans="1:5" x14ac:dyDescent="0.2">
      <c r="A493" s="383" t="s">
        <v>1406</v>
      </c>
      <c r="B493" s="386" t="s">
        <v>1445</v>
      </c>
      <c r="D493" s="391">
        <v>3</v>
      </c>
      <c r="E493" s="117" t="s">
        <v>845</v>
      </c>
    </row>
    <row r="494" spans="1:5" x14ac:dyDescent="0.2">
      <c r="A494" s="383" t="s">
        <v>1915</v>
      </c>
      <c r="B494" s="550" t="s">
        <v>1943</v>
      </c>
      <c r="D494" s="391">
        <v>558</v>
      </c>
      <c r="E494" s="117" t="s">
        <v>845</v>
      </c>
    </row>
    <row r="495" spans="1:5" x14ac:dyDescent="0.2">
      <c r="A495" s="383" t="s">
        <v>1916</v>
      </c>
      <c r="B495" s="550" t="s">
        <v>1943</v>
      </c>
      <c r="D495" s="391">
        <v>580</v>
      </c>
      <c r="E495" s="117" t="s">
        <v>845</v>
      </c>
    </row>
    <row r="496" spans="1:5" x14ac:dyDescent="0.2">
      <c r="A496" s="383" t="s">
        <v>1939</v>
      </c>
      <c r="B496" s="550" t="s">
        <v>1941</v>
      </c>
      <c r="D496" s="391">
        <v>55</v>
      </c>
      <c r="E496" s="117" t="s">
        <v>845</v>
      </c>
    </row>
    <row r="497" spans="1:5" x14ac:dyDescent="0.2">
      <c r="A497" s="383" t="s">
        <v>1940</v>
      </c>
      <c r="B497" s="550" t="s">
        <v>1942</v>
      </c>
      <c r="D497" s="391">
        <v>55</v>
      </c>
      <c r="E497" s="117" t="s">
        <v>845</v>
      </c>
    </row>
    <row r="498" spans="1:5" x14ac:dyDescent="0.2">
      <c r="A498" s="383" t="s">
        <v>1918</v>
      </c>
      <c r="B498" s="550" t="s">
        <v>1928</v>
      </c>
      <c r="D498" s="391">
        <v>20</v>
      </c>
      <c r="E498" s="117" t="s">
        <v>845</v>
      </c>
    </row>
    <row r="499" spans="1:5" x14ac:dyDescent="0.2">
      <c r="A499" s="383" t="s">
        <v>1920</v>
      </c>
      <c r="B499" s="550" t="s">
        <v>1929</v>
      </c>
      <c r="D499" s="391">
        <v>6.56</v>
      </c>
      <c r="E499" s="522" t="s">
        <v>846</v>
      </c>
    </row>
    <row r="500" spans="1:5" x14ac:dyDescent="0.2">
      <c r="A500" s="383" t="s">
        <v>1923</v>
      </c>
      <c r="B500" s="550" t="s">
        <v>1930</v>
      </c>
      <c r="D500" s="391">
        <v>9.8424000000000014</v>
      </c>
      <c r="E500" s="522" t="s">
        <v>846</v>
      </c>
    </row>
    <row r="501" spans="1:5" x14ac:dyDescent="0.2">
      <c r="A501" s="383" t="s">
        <v>1925</v>
      </c>
      <c r="B501" s="550" t="s">
        <v>1931</v>
      </c>
      <c r="D501" s="391">
        <v>13.123200000000001</v>
      </c>
      <c r="E501" s="522" t="s">
        <v>846</v>
      </c>
    </row>
    <row r="502" spans="1:5" x14ac:dyDescent="0.2">
      <c r="A502" s="383" t="s">
        <v>1921</v>
      </c>
      <c r="B502" s="550" t="s">
        <v>1932</v>
      </c>
      <c r="D502" s="391">
        <v>21</v>
      </c>
      <c r="E502" s="522" t="s">
        <v>845</v>
      </c>
    </row>
    <row r="503" spans="1:5" x14ac:dyDescent="0.2">
      <c r="A503" s="383" t="s">
        <v>1922</v>
      </c>
      <c r="B503" s="550" t="s">
        <v>1933</v>
      </c>
      <c r="D503" s="391">
        <v>30</v>
      </c>
      <c r="E503" s="522" t="s">
        <v>845</v>
      </c>
    </row>
    <row r="504" spans="1:5" x14ac:dyDescent="0.2">
      <c r="A504" s="383" t="s">
        <v>1924</v>
      </c>
      <c r="B504" s="550" t="s">
        <v>1934</v>
      </c>
      <c r="D504" s="391">
        <v>40</v>
      </c>
      <c r="E504" s="522" t="s">
        <v>845</v>
      </c>
    </row>
    <row r="505" spans="1:5" x14ac:dyDescent="0.2">
      <c r="A505" s="383" t="s">
        <v>1926</v>
      </c>
      <c r="B505" s="550" t="s">
        <v>1935</v>
      </c>
      <c r="D505" s="391">
        <v>40</v>
      </c>
      <c r="E505" s="522" t="s">
        <v>845</v>
      </c>
    </row>
    <row r="506" spans="1:5" x14ac:dyDescent="0.2">
      <c r="A506" s="383" t="s">
        <v>1927</v>
      </c>
      <c r="B506" s="550" t="s">
        <v>1936</v>
      </c>
      <c r="D506" s="758">
        <v>60</v>
      </c>
      <c r="E506" s="522" t="s">
        <v>845</v>
      </c>
    </row>
    <row r="507" spans="1:5" x14ac:dyDescent="0.2">
      <c r="A507" s="383" t="s">
        <v>1919</v>
      </c>
      <c r="B507" s="550" t="s">
        <v>1937</v>
      </c>
      <c r="D507" s="391">
        <v>10</v>
      </c>
      <c r="E507" s="522" t="s">
        <v>845</v>
      </c>
    </row>
    <row r="508" spans="1:5" x14ac:dyDescent="0.2">
      <c r="A508" s="383" t="s">
        <v>970</v>
      </c>
      <c r="B508" s="387" t="s">
        <v>266</v>
      </c>
      <c r="D508" s="391">
        <v>65</v>
      </c>
      <c r="E508" s="117" t="s">
        <v>845</v>
      </c>
    </row>
    <row r="509" spans="1:5" x14ac:dyDescent="0.2">
      <c r="A509" s="383" t="s">
        <v>974</v>
      </c>
      <c r="B509" s="387" t="s">
        <v>266</v>
      </c>
      <c r="D509" s="391">
        <v>65</v>
      </c>
      <c r="E509" s="117" t="s">
        <v>845</v>
      </c>
    </row>
    <row r="510" spans="1:5" x14ac:dyDescent="0.2">
      <c r="A510" s="384" t="s">
        <v>1512</v>
      </c>
      <c r="B510" s="387" t="s">
        <v>1513</v>
      </c>
      <c r="D510" s="391">
        <v>205</v>
      </c>
      <c r="E510" s="117" t="s">
        <v>845</v>
      </c>
    </row>
    <row r="511" spans="1:5" x14ac:dyDescent="0.2">
      <c r="A511" s="384" t="s">
        <v>1119</v>
      </c>
      <c r="B511" s="495" t="s">
        <v>2199</v>
      </c>
      <c r="D511" s="391">
        <v>24</v>
      </c>
      <c r="E511" s="117" t="s">
        <v>845</v>
      </c>
    </row>
    <row r="512" spans="1:5" x14ac:dyDescent="0.2">
      <c r="A512" s="384" t="s">
        <v>1120</v>
      </c>
      <c r="B512" s="387" t="s">
        <v>2207</v>
      </c>
      <c r="D512" s="391">
        <v>33</v>
      </c>
      <c r="E512" s="117" t="s">
        <v>845</v>
      </c>
    </row>
    <row r="513" spans="1:5" x14ac:dyDescent="0.2">
      <c r="A513" s="384" t="s">
        <v>1121</v>
      </c>
      <c r="B513" s="387" t="s">
        <v>2200</v>
      </c>
      <c r="D513" s="391">
        <v>44</v>
      </c>
      <c r="E513" s="117" t="s">
        <v>845</v>
      </c>
    </row>
    <row r="514" spans="1:5" x14ac:dyDescent="0.2">
      <c r="A514" s="384" t="s">
        <v>1122</v>
      </c>
      <c r="B514" s="387" t="s">
        <v>2201</v>
      </c>
      <c r="D514" s="391">
        <v>53</v>
      </c>
      <c r="E514" s="117" t="s">
        <v>845</v>
      </c>
    </row>
    <row r="515" spans="1:5" x14ac:dyDescent="0.2">
      <c r="A515" s="384" t="s">
        <v>1123</v>
      </c>
      <c r="B515" s="387" t="s">
        <v>2202</v>
      </c>
      <c r="D515" s="391">
        <v>66</v>
      </c>
      <c r="E515" s="117" t="s">
        <v>845</v>
      </c>
    </row>
    <row r="516" spans="1:5" x14ac:dyDescent="0.2">
      <c r="A516" s="384" t="s">
        <v>1124</v>
      </c>
      <c r="B516" s="387" t="s">
        <v>2203</v>
      </c>
      <c r="D516" s="391">
        <v>78</v>
      </c>
      <c r="E516" s="117" t="s">
        <v>845</v>
      </c>
    </row>
    <row r="517" spans="1:5" x14ac:dyDescent="0.2">
      <c r="A517" s="384" t="s">
        <v>1125</v>
      </c>
      <c r="B517" s="387" t="s">
        <v>2204</v>
      </c>
      <c r="D517" s="391">
        <v>88</v>
      </c>
      <c r="E517" s="117" t="s">
        <v>845</v>
      </c>
    </row>
    <row r="518" spans="1:5" x14ac:dyDescent="0.2">
      <c r="A518" s="384" t="s">
        <v>1126</v>
      </c>
      <c r="B518" s="387" t="s">
        <v>2205</v>
      </c>
      <c r="D518" s="391">
        <v>108</v>
      </c>
      <c r="E518" s="117" t="s">
        <v>845</v>
      </c>
    </row>
    <row r="519" spans="1:5" x14ac:dyDescent="0.2">
      <c r="A519" s="384" t="s">
        <v>1127</v>
      </c>
      <c r="B519" s="387" t="s">
        <v>2206</v>
      </c>
      <c r="D519" s="391">
        <v>125</v>
      </c>
      <c r="E519" s="117" t="s">
        <v>845</v>
      </c>
    </row>
    <row r="520" spans="1:5" x14ac:dyDescent="0.2">
      <c r="A520" s="384" t="s">
        <v>2197</v>
      </c>
      <c r="B520" s="495" t="s">
        <v>2198</v>
      </c>
      <c r="D520" s="391">
        <v>205</v>
      </c>
      <c r="E520" s="117" t="s">
        <v>845</v>
      </c>
    </row>
    <row r="521" spans="1:5" x14ac:dyDescent="0.2">
      <c r="A521" s="384" t="s">
        <v>2196</v>
      </c>
      <c r="B521" s="387" t="s">
        <v>2216</v>
      </c>
      <c r="D521" s="391">
        <v>24</v>
      </c>
      <c r="E521" s="117" t="s">
        <v>845</v>
      </c>
    </row>
    <row r="522" spans="1:5" x14ac:dyDescent="0.2">
      <c r="A522" s="384" t="s">
        <v>2186</v>
      </c>
      <c r="B522" s="387" t="s">
        <v>2208</v>
      </c>
      <c r="D522" s="391">
        <v>33</v>
      </c>
      <c r="E522" s="117" t="s">
        <v>845</v>
      </c>
    </row>
    <row r="523" spans="1:5" x14ac:dyDescent="0.2">
      <c r="A523" s="384" t="s">
        <v>2187</v>
      </c>
      <c r="B523" s="387" t="s">
        <v>2209</v>
      </c>
      <c r="D523" s="391">
        <v>44</v>
      </c>
      <c r="E523" s="117" t="s">
        <v>845</v>
      </c>
    </row>
    <row r="524" spans="1:5" x14ac:dyDescent="0.2">
      <c r="A524" s="384" t="s">
        <v>2188</v>
      </c>
      <c r="B524" s="387" t="s">
        <v>2210</v>
      </c>
      <c r="D524" s="391">
        <v>53</v>
      </c>
      <c r="E524" s="117" t="s">
        <v>845</v>
      </c>
    </row>
    <row r="525" spans="1:5" x14ac:dyDescent="0.2">
      <c r="A525" s="384" t="s">
        <v>2189</v>
      </c>
      <c r="B525" s="387" t="s">
        <v>2211</v>
      </c>
      <c r="D525" s="391">
        <v>66</v>
      </c>
      <c r="E525" s="117" t="s">
        <v>845</v>
      </c>
    </row>
    <row r="526" spans="1:5" x14ac:dyDescent="0.2">
      <c r="A526" s="384" t="s">
        <v>2190</v>
      </c>
      <c r="B526" s="387" t="s">
        <v>2212</v>
      </c>
      <c r="D526" s="391">
        <v>78</v>
      </c>
      <c r="E526" s="117" t="s">
        <v>845</v>
      </c>
    </row>
    <row r="527" spans="1:5" x14ac:dyDescent="0.2">
      <c r="A527" s="384" t="s">
        <v>2191</v>
      </c>
      <c r="B527" s="387" t="s">
        <v>2213</v>
      </c>
      <c r="D527" s="391">
        <v>88</v>
      </c>
      <c r="E527" s="117" t="s">
        <v>845</v>
      </c>
    </row>
    <row r="528" spans="1:5" x14ac:dyDescent="0.2">
      <c r="A528" s="384" t="s">
        <v>2192</v>
      </c>
      <c r="B528" s="387" t="s">
        <v>2214</v>
      </c>
      <c r="D528" s="391">
        <v>108</v>
      </c>
      <c r="E528" s="117" t="s">
        <v>845</v>
      </c>
    </row>
    <row r="529" spans="1:5" x14ac:dyDescent="0.2">
      <c r="A529" s="384" t="s">
        <v>2193</v>
      </c>
      <c r="B529" s="387" t="s">
        <v>2215</v>
      </c>
      <c r="D529" s="391">
        <v>125</v>
      </c>
      <c r="E529" s="117" t="s">
        <v>845</v>
      </c>
    </row>
    <row r="530" spans="1:5" x14ac:dyDescent="0.2">
      <c r="A530" s="384" t="s">
        <v>1495</v>
      </c>
      <c r="B530" s="387" t="s">
        <v>267</v>
      </c>
      <c r="D530" s="391">
        <v>15.7</v>
      </c>
      <c r="E530" s="117" t="s">
        <v>845</v>
      </c>
    </row>
    <row r="531" spans="1:5" x14ac:dyDescent="0.2">
      <c r="A531" s="384" t="s">
        <v>1496</v>
      </c>
      <c r="B531" s="387" t="s">
        <v>268</v>
      </c>
      <c r="D531" s="391">
        <v>15.7</v>
      </c>
      <c r="E531" s="117" t="s">
        <v>845</v>
      </c>
    </row>
    <row r="532" spans="1:5" x14ac:dyDescent="0.2">
      <c r="A532" s="384" t="s">
        <v>1497</v>
      </c>
      <c r="B532" s="387" t="s">
        <v>269</v>
      </c>
      <c r="D532" s="391">
        <v>18.899999999999999</v>
      </c>
      <c r="E532" s="117" t="s">
        <v>845</v>
      </c>
    </row>
    <row r="533" spans="1:5" x14ac:dyDescent="0.2">
      <c r="A533" s="384" t="s">
        <v>1498</v>
      </c>
      <c r="B533" s="387" t="s">
        <v>270</v>
      </c>
      <c r="D533" s="391">
        <v>15.7</v>
      </c>
      <c r="E533" s="117" t="s">
        <v>845</v>
      </c>
    </row>
    <row r="534" spans="1:5" x14ac:dyDescent="0.2">
      <c r="A534" s="384" t="s">
        <v>1353</v>
      </c>
      <c r="B534" s="387" t="s">
        <v>271</v>
      </c>
      <c r="D534" s="391">
        <v>8.4</v>
      </c>
      <c r="E534" s="117" t="s">
        <v>845</v>
      </c>
    </row>
    <row r="535" spans="1:5" x14ac:dyDescent="0.2">
      <c r="A535" s="384" t="s">
        <v>1354</v>
      </c>
      <c r="B535" s="387" t="s">
        <v>272</v>
      </c>
      <c r="D535" s="391">
        <v>12.6</v>
      </c>
      <c r="E535" s="117" t="s">
        <v>845</v>
      </c>
    </row>
    <row r="536" spans="1:5" x14ac:dyDescent="0.2">
      <c r="A536" s="384" t="s">
        <v>1355</v>
      </c>
      <c r="B536" s="387" t="s">
        <v>273</v>
      </c>
      <c r="D536" s="391">
        <v>11.5</v>
      </c>
      <c r="E536" s="117" t="s">
        <v>845</v>
      </c>
    </row>
    <row r="537" spans="1:5" x14ac:dyDescent="0.2">
      <c r="A537" s="384" t="s">
        <v>1352</v>
      </c>
      <c r="B537" s="387" t="s">
        <v>274</v>
      </c>
      <c r="D537" s="391">
        <v>21</v>
      </c>
      <c r="E537" s="117" t="s">
        <v>845</v>
      </c>
    </row>
    <row r="538" spans="1:5" x14ac:dyDescent="0.2">
      <c r="A538" s="384" t="s">
        <v>1356</v>
      </c>
      <c r="B538" s="387" t="s">
        <v>275</v>
      </c>
      <c r="D538" s="391">
        <v>10.199999999999999</v>
      </c>
      <c r="E538" s="117" t="s">
        <v>845</v>
      </c>
    </row>
    <row r="539" spans="1:5" x14ac:dyDescent="0.2">
      <c r="A539" s="384" t="s">
        <v>1357</v>
      </c>
      <c r="B539" s="387" t="s">
        <v>276</v>
      </c>
      <c r="D539" s="391">
        <v>10.5</v>
      </c>
      <c r="E539" s="117" t="s">
        <v>845</v>
      </c>
    </row>
    <row r="540" spans="1:5" x14ac:dyDescent="0.2">
      <c r="A540" s="384" t="s">
        <v>1499</v>
      </c>
      <c r="B540" s="387" t="s">
        <v>277</v>
      </c>
      <c r="D540" s="391">
        <v>26.2</v>
      </c>
      <c r="E540" s="117" t="s">
        <v>845</v>
      </c>
    </row>
    <row r="541" spans="1:5" x14ac:dyDescent="0.2">
      <c r="A541" s="384" t="s">
        <v>1358</v>
      </c>
      <c r="B541" s="387" t="s">
        <v>278</v>
      </c>
      <c r="D541" s="391">
        <v>10.5</v>
      </c>
      <c r="E541" s="117" t="s">
        <v>845</v>
      </c>
    </row>
    <row r="542" spans="1:5" x14ac:dyDescent="0.2">
      <c r="A542" s="384" t="s">
        <v>1464</v>
      </c>
      <c r="B542" s="387" t="s">
        <v>279</v>
      </c>
      <c r="D542" s="391">
        <v>21</v>
      </c>
      <c r="E542" s="117" t="s">
        <v>845</v>
      </c>
    </row>
    <row r="543" spans="1:5" x14ac:dyDescent="0.2">
      <c r="A543" s="384" t="s">
        <v>1359</v>
      </c>
      <c r="B543" s="387" t="s">
        <v>280</v>
      </c>
      <c r="D543" s="391">
        <v>14.7</v>
      </c>
      <c r="E543" s="117" t="s">
        <v>845</v>
      </c>
    </row>
    <row r="544" spans="1:5" x14ac:dyDescent="0.2">
      <c r="A544" s="384" t="s">
        <v>1465</v>
      </c>
      <c r="B544" s="387" t="s">
        <v>281</v>
      </c>
      <c r="D544" s="391">
        <v>21</v>
      </c>
      <c r="E544" s="117" t="s">
        <v>845</v>
      </c>
    </row>
    <row r="545" spans="1:5" x14ac:dyDescent="0.2">
      <c r="A545" s="384" t="s">
        <v>1360</v>
      </c>
      <c r="B545" s="387" t="s">
        <v>282</v>
      </c>
      <c r="D545" s="391">
        <v>11.5</v>
      </c>
      <c r="E545" s="117" t="s">
        <v>845</v>
      </c>
    </row>
    <row r="546" spans="1:5" x14ac:dyDescent="0.2">
      <c r="A546" s="384" t="s">
        <v>1466</v>
      </c>
      <c r="B546" s="387" t="s">
        <v>283</v>
      </c>
      <c r="D546" s="391">
        <v>21</v>
      </c>
      <c r="E546" s="117" t="s">
        <v>845</v>
      </c>
    </row>
    <row r="547" spans="1:5" x14ac:dyDescent="0.2">
      <c r="A547" s="384" t="s">
        <v>1361</v>
      </c>
      <c r="B547" s="387" t="s">
        <v>284</v>
      </c>
      <c r="D547" s="391">
        <v>15</v>
      </c>
      <c r="E547" s="117" t="s">
        <v>845</v>
      </c>
    </row>
    <row r="548" spans="1:5" x14ac:dyDescent="0.2">
      <c r="A548" s="384" t="s">
        <v>1467</v>
      </c>
      <c r="B548" s="387" t="s">
        <v>285</v>
      </c>
      <c r="D548" s="391">
        <v>21</v>
      </c>
      <c r="E548" s="117" t="s">
        <v>845</v>
      </c>
    </row>
    <row r="549" spans="1:5" x14ac:dyDescent="0.2">
      <c r="A549" s="384" t="s">
        <v>1505</v>
      </c>
      <c r="B549" s="387" t="s">
        <v>286</v>
      </c>
      <c r="D549" s="391">
        <v>30.4</v>
      </c>
      <c r="E549" s="117" t="s">
        <v>845</v>
      </c>
    </row>
    <row r="550" spans="1:5" x14ac:dyDescent="0.2">
      <c r="A550" s="384" t="s">
        <v>1362</v>
      </c>
      <c r="B550" s="387" t="s">
        <v>287</v>
      </c>
      <c r="D550" s="391">
        <v>12.6</v>
      </c>
      <c r="E550" s="117" t="s">
        <v>845</v>
      </c>
    </row>
    <row r="551" spans="1:5" x14ac:dyDescent="0.2">
      <c r="A551" s="384" t="s">
        <v>1468</v>
      </c>
      <c r="B551" s="387" t="s">
        <v>288</v>
      </c>
      <c r="D551" s="391">
        <v>17</v>
      </c>
      <c r="E551" s="117" t="s">
        <v>845</v>
      </c>
    </row>
    <row r="552" spans="1:5" x14ac:dyDescent="0.2">
      <c r="A552" s="384" t="s">
        <v>1363</v>
      </c>
      <c r="B552" s="387" t="s">
        <v>289</v>
      </c>
      <c r="D552" s="391">
        <v>14.7</v>
      </c>
      <c r="E552" s="117" t="s">
        <v>845</v>
      </c>
    </row>
    <row r="553" spans="1:5" x14ac:dyDescent="0.2">
      <c r="A553" s="384" t="s">
        <v>1469</v>
      </c>
      <c r="B553" s="387" t="s">
        <v>290</v>
      </c>
      <c r="D553" s="391">
        <v>26.2</v>
      </c>
      <c r="E553" s="117" t="s">
        <v>845</v>
      </c>
    </row>
    <row r="554" spans="1:5" x14ac:dyDescent="0.2">
      <c r="A554" s="384" t="s">
        <v>1364</v>
      </c>
      <c r="B554" s="796" t="s">
        <v>291</v>
      </c>
      <c r="C554" s="316"/>
      <c r="D554" s="800">
        <v>15.7</v>
      </c>
      <c r="E554" s="316" t="s">
        <v>845</v>
      </c>
    </row>
    <row r="555" spans="1:5" x14ac:dyDescent="0.2">
      <c r="A555" s="794" t="s">
        <v>1470</v>
      </c>
      <c r="B555" s="797" t="s">
        <v>292</v>
      </c>
      <c r="C555" s="286"/>
      <c r="D555" s="801">
        <v>21</v>
      </c>
      <c r="E555" s="286" t="s">
        <v>845</v>
      </c>
    </row>
    <row r="556" spans="1:5" x14ac:dyDescent="0.2">
      <c r="A556" s="794" t="s">
        <v>1365</v>
      </c>
      <c r="B556" s="797" t="s">
        <v>293</v>
      </c>
      <c r="C556" s="286"/>
      <c r="D556" s="801">
        <v>17.600000000000001</v>
      </c>
      <c r="E556" s="286" t="s">
        <v>845</v>
      </c>
    </row>
    <row r="557" spans="1:5" x14ac:dyDescent="0.2">
      <c r="A557" s="794" t="s">
        <v>1471</v>
      </c>
      <c r="B557" s="797" t="s">
        <v>294</v>
      </c>
      <c r="C557" s="286"/>
      <c r="D557" s="801">
        <v>36.700000000000003</v>
      </c>
      <c r="E557" s="286" t="s">
        <v>845</v>
      </c>
    </row>
    <row r="558" spans="1:5" x14ac:dyDescent="0.2">
      <c r="A558" s="794" t="s">
        <v>1506</v>
      </c>
      <c r="B558" s="797" t="s">
        <v>295</v>
      </c>
      <c r="C558" s="286"/>
      <c r="D558" s="801">
        <v>31.4</v>
      </c>
      <c r="E558" s="286" t="s">
        <v>845</v>
      </c>
    </row>
    <row r="559" spans="1:5" x14ac:dyDescent="0.2">
      <c r="A559" s="794" t="s">
        <v>1366</v>
      </c>
      <c r="B559" s="797" t="s">
        <v>296</v>
      </c>
      <c r="C559" s="286"/>
      <c r="D559" s="801">
        <v>19.899999999999999</v>
      </c>
      <c r="E559" s="286" t="s">
        <v>845</v>
      </c>
    </row>
    <row r="560" spans="1:5" x14ac:dyDescent="0.2">
      <c r="A560" s="794" t="s">
        <v>1367</v>
      </c>
      <c r="B560" s="797" t="s">
        <v>297</v>
      </c>
      <c r="C560" s="286"/>
      <c r="D560" s="801">
        <v>18.8</v>
      </c>
      <c r="E560" s="286" t="s">
        <v>845</v>
      </c>
    </row>
    <row r="561" spans="1:5" x14ac:dyDescent="0.2">
      <c r="A561" s="794" t="s">
        <v>1456</v>
      </c>
      <c r="B561" s="797" t="s">
        <v>298</v>
      </c>
      <c r="C561" s="286"/>
      <c r="D561" s="801">
        <v>19.899999999999999</v>
      </c>
      <c r="E561" s="286" t="s">
        <v>845</v>
      </c>
    </row>
    <row r="562" spans="1:5" x14ac:dyDescent="0.2">
      <c r="A562" s="794" t="s">
        <v>1457</v>
      </c>
      <c r="B562" s="797" t="s">
        <v>299</v>
      </c>
      <c r="C562" s="286"/>
      <c r="D562" s="801">
        <v>19.8</v>
      </c>
      <c r="E562" s="286" t="s">
        <v>845</v>
      </c>
    </row>
    <row r="563" spans="1:5" x14ac:dyDescent="0.2">
      <c r="A563" s="794" t="s">
        <v>1458</v>
      </c>
      <c r="B563" s="797" t="s">
        <v>300</v>
      </c>
      <c r="C563" s="286"/>
      <c r="D563" s="801">
        <v>25.2</v>
      </c>
      <c r="E563" s="286" t="s">
        <v>845</v>
      </c>
    </row>
    <row r="564" spans="1:5" x14ac:dyDescent="0.2">
      <c r="A564" s="794" t="s">
        <v>1459</v>
      </c>
      <c r="B564" s="797" t="s">
        <v>301</v>
      </c>
      <c r="C564" s="286"/>
      <c r="D564" s="801">
        <v>18.899999999999999</v>
      </c>
      <c r="E564" s="286" t="s">
        <v>845</v>
      </c>
    </row>
    <row r="565" spans="1:5" x14ac:dyDescent="0.2">
      <c r="A565" s="794" t="s">
        <v>1460</v>
      </c>
      <c r="B565" s="797" t="s">
        <v>302</v>
      </c>
      <c r="C565" s="286"/>
      <c r="D565" s="801">
        <v>26</v>
      </c>
      <c r="E565" s="286" t="s">
        <v>845</v>
      </c>
    </row>
    <row r="566" spans="1:5" x14ac:dyDescent="0.2">
      <c r="A566" s="794" t="s">
        <v>1472</v>
      </c>
      <c r="B566" s="797" t="s">
        <v>303</v>
      </c>
      <c r="C566" s="286"/>
      <c r="D566" s="801">
        <v>21</v>
      </c>
      <c r="E566" s="286" t="s">
        <v>845</v>
      </c>
    </row>
    <row r="567" spans="1:5" x14ac:dyDescent="0.2">
      <c r="A567" s="794" t="s">
        <v>1481</v>
      </c>
      <c r="B567" s="797" t="s">
        <v>304</v>
      </c>
      <c r="C567" s="286"/>
      <c r="D567" s="801">
        <v>30</v>
      </c>
      <c r="E567" s="286" t="s">
        <v>845</v>
      </c>
    </row>
    <row r="568" spans="1:5" x14ac:dyDescent="0.2">
      <c r="A568" s="794" t="s">
        <v>1482</v>
      </c>
      <c r="B568" s="797" t="s">
        <v>305</v>
      </c>
      <c r="C568" s="286"/>
      <c r="D568" s="801">
        <v>30</v>
      </c>
      <c r="E568" s="286" t="s">
        <v>845</v>
      </c>
    </row>
    <row r="569" spans="1:5" x14ac:dyDescent="0.2">
      <c r="A569" s="794" t="s">
        <v>1782</v>
      </c>
      <c r="B569" s="797" t="s">
        <v>1783</v>
      </c>
      <c r="C569" s="286"/>
      <c r="D569" s="801">
        <v>7.3</v>
      </c>
      <c r="E569" s="286" t="s">
        <v>845</v>
      </c>
    </row>
    <row r="570" spans="1:5" x14ac:dyDescent="0.2">
      <c r="A570" s="794" t="s">
        <v>1200</v>
      </c>
      <c r="B570" s="797" t="s">
        <v>306</v>
      </c>
      <c r="C570" s="286"/>
      <c r="D570" s="801">
        <v>12.6</v>
      </c>
      <c r="E570" s="286" t="s">
        <v>845</v>
      </c>
    </row>
    <row r="571" spans="1:5" x14ac:dyDescent="0.2">
      <c r="A571" s="794" t="s">
        <v>1199</v>
      </c>
      <c r="B571" s="797" t="s">
        <v>307</v>
      </c>
      <c r="C571" s="286"/>
      <c r="D571" s="801">
        <v>15.7</v>
      </c>
      <c r="E571" s="286" t="s">
        <v>845</v>
      </c>
    </row>
  </sheetData>
  <sortState xmlns:xlrd2="http://schemas.microsoft.com/office/spreadsheetml/2017/richdata2" ref="A3:E571">
    <sortCondition ref="A3:A571"/>
  </sortState>
  <phoneticPr fontId="7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indexed="10"/>
    <pageSetUpPr fitToPage="1"/>
  </sheetPr>
  <dimension ref="A1:AJ63"/>
  <sheetViews>
    <sheetView zoomScaleNormal="100" workbookViewId="0">
      <pane ySplit="15" topLeftCell="A16" activePane="bottomLeft" state="frozen"/>
      <selection activeCell="J461" sqref="J461"/>
      <selection pane="bottomLeft" activeCell="N36" sqref="N36"/>
    </sheetView>
  </sheetViews>
  <sheetFormatPr defaultRowHeight="12.75" x14ac:dyDescent="0.2"/>
  <cols>
    <col min="1" max="1" width="12" style="111" bestFit="1" customWidth="1"/>
    <col min="2" max="4" width="8.28515625" style="111" customWidth="1"/>
    <col min="5" max="5" width="7.42578125" style="111" bestFit="1" customWidth="1"/>
    <col min="6" max="6" width="5.5703125" style="111" bestFit="1" customWidth="1"/>
    <col min="7" max="7" width="6.5703125" style="111" bestFit="1" customWidth="1"/>
    <col min="8" max="8" width="7.28515625" style="111" bestFit="1" customWidth="1"/>
    <col min="9" max="9" width="7.28515625" style="111" customWidth="1"/>
    <col min="10" max="10" width="8.42578125" style="111" bestFit="1" customWidth="1"/>
    <col min="11" max="11" width="6.5703125" style="111" customWidth="1"/>
    <col min="12" max="12" width="7.28515625" style="111" bestFit="1" customWidth="1"/>
    <col min="13" max="13" width="6.5703125" style="111" bestFit="1" customWidth="1"/>
    <col min="14" max="14" width="7.140625" style="114" bestFit="1" customWidth="1"/>
    <col min="15" max="15" width="7.28515625" style="114" bestFit="1" customWidth="1"/>
    <col min="16" max="16" width="7.5703125" style="114" bestFit="1" customWidth="1"/>
    <col min="17" max="17" width="9.42578125" style="114" bestFit="1" customWidth="1"/>
    <col min="18" max="18" width="10.28515625" style="115" bestFit="1" customWidth="1"/>
    <col min="19" max="19" width="15.42578125" style="116" bestFit="1" customWidth="1"/>
    <col min="20" max="20" width="7.7109375" style="116" bestFit="1" customWidth="1"/>
    <col min="21" max="21" width="4.5703125" style="111" customWidth="1"/>
    <col min="22" max="22" width="10.28515625" style="111" bestFit="1" customWidth="1"/>
    <col min="23" max="23" width="9.5703125" style="111" bestFit="1" customWidth="1"/>
    <col min="24" max="25" width="9.42578125" style="111" customWidth="1"/>
    <col min="26" max="26" width="7.5703125" style="111" bestFit="1" customWidth="1"/>
    <col min="27" max="27" width="4.5703125" style="111" customWidth="1"/>
    <col min="28" max="30" width="10.28515625" style="111" bestFit="1" customWidth="1"/>
    <col min="31" max="31" width="9.140625" style="111"/>
    <col min="32" max="32" width="10.28515625" style="111" bestFit="1" customWidth="1"/>
    <col min="33" max="33" width="11.7109375" style="111" bestFit="1" customWidth="1"/>
    <col min="34" max="16384" width="9.140625" style="111"/>
  </cols>
  <sheetData>
    <row r="1" spans="1:36" x14ac:dyDescent="0.2">
      <c r="N1" s="111"/>
    </row>
    <row r="2" spans="1:36" x14ac:dyDescent="0.2">
      <c r="A2" s="93">
        <f>+quote42</f>
        <v>11.194849972700981</v>
      </c>
      <c r="B2" s="117" t="s">
        <v>853</v>
      </c>
      <c r="E2" s="111" t="s">
        <v>837</v>
      </c>
      <c r="F2" s="117" t="s">
        <v>851</v>
      </c>
      <c r="H2" s="117" t="s">
        <v>851</v>
      </c>
      <c r="J2" s="117" t="s">
        <v>852</v>
      </c>
      <c r="O2" s="111" t="s">
        <v>1889</v>
      </c>
      <c r="P2" s="111"/>
      <c r="Q2" s="111"/>
      <c r="R2" s="112" t="s">
        <v>2091</v>
      </c>
      <c r="S2" s="111"/>
      <c r="T2" s="111"/>
    </row>
    <row r="3" spans="1:36" ht="13.15" customHeight="1" x14ac:dyDescent="0.2">
      <c r="A3" s="93">
        <f>+quote43</f>
        <v>128.74077468606129</v>
      </c>
      <c r="B3" s="117" t="s">
        <v>854</v>
      </c>
      <c r="F3" s="117" t="s">
        <v>852</v>
      </c>
      <c r="G3" s="111" t="s">
        <v>1524</v>
      </c>
      <c r="H3" s="96">
        <f>IF(P0Q5="Constant",+P12q1*O3,+P12q1*R3)</f>
        <v>78.363949808906881</v>
      </c>
      <c r="I3" s="361" t="s">
        <v>1532</v>
      </c>
      <c r="J3" s="96">
        <f>IF(P0Q5="Constant",+P12q1*P3,+P12q1*S3)</f>
        <v>123.14334969971083</v>
      </c>
      <c r="K3" s="361" t="s">
        <v>1535</v>
      </c>
      <c r="O3" s="111">
        <v>0.7</v>
      </c>
      <c r="P3" s="111">
        <v>1.05</v>
      </c>
      <c r="Q3" s="111"/>
      <c r="R3" s="653">
        <v>0.7</v>
      </c>
      <c r="S3" s="111">
        <v>1.1000000000000001</v>
      </c>
      <c r="T3" s="273"/>
    </row>
    <row r="4" spans="1:36" ht="12.75" customHeight="1" x14ac:dyDescent="0.2">
      <c r="A4" s="93">
        <f>+P12q1</f>
        <v>111.94849972700983</v>
      </c>
      <c r="B4" s="117" t="s">
        <v>672</v>
      </c>
      <c r="C4" s="111" t="s">
        <v>331</v>
      </c>
      <c r="F4" s="117" t="s">
        <v>1531</v>
      </c>
      <c r="G4" s="111" t="s">
        <v>1526</v>
      </c>
      <c r="H4" s="96">
        <f>IF(P0Q5="Constant",+P12q1*O4,+P12q1*R4)</f>
        <v>55.974249863504916</v>
      </c>
      <c r="I4" s="361" t="s">
        <v>1533</v>
      </c>
      <c r="J4" s="96">
        <f>IF(P0Q5="Constant",+P12q1*P4,+P12q1*S4)</f>
        <v>134.3381996724118</v>
      </c>
      <c r="K4" s="361" t="s">
        <v>1536</v>
      </c>
      <c r="O4" s="111">
        <v>0.65</v>
      </c>
      <c r="P4" s="111">
        <v>1.1000000000000001</v>
      </c>
      <c r="Q4" s="111"/>
      <c r="R4" s="653">
        <v>0.5</v>
      </c>
      <c r="S4" s="111">
        <v>1.2</v>
      </c>
      <c r="T4" s="273"/>
    </row>
    <row r="5" spans="1:36" ht="12.75" customHeight="1" x14ac:dyDescent="0.2">
      <c r="G5" s="111" t="s">
        <v>1527</v>
      </c>
      <c r="H5" s="96">
        <f>IF(P0Q5="Constant",+P12q1*O5,+P12q1*R5)</f>
        <v>11.194849972700984</v>
      </c>
      <c r="I5" s="361" t="s">
        <v>1534</v>
      </c>
      <c r="J5" s="96">
        <f>IF(P0Q5="Constant",+P12q1*P5,+P12q1*S5)</f>
        <v>145.53304964511278</v>
      </c>
      <c r="K5" s="361" t="s">
        <v>1537</v>
      </c>
      <c r="O5" s="111">
        <v>0.6</v>
      </c>
      <c r="P5" s="111">
        <v>1.1499999999999999</v>
      </c>
      <c r="Q5" s="111"/>
      <c r="R5" s="653">
        <v>0.1</v>
      </c>
      <c r="S5" s="111">
        <v>1.3</v>
      </c>
      <c r="T5" s="273"/>
    </row>
    <row r="6" spans="1:36" ht="12.75" customHeight="1" x14ac:dyDescent="0.2">
      <c r="A6" s="361">
        <f>+quote78</f>
        <v>-0.9</v>
      </c>
      <c r="B6" s="117" t="s">
        <v>1528</v>
      </c>
      <c r="E6" s="111" t="s">
        <v>1529</v>
      </c>
      <c r="F6" s="117" t="s">
        <v>851</v>
      </c>
      <c r="N6" s="111"/>
      <c r="O6" s="111"/>
      <c r="P6" s="111"/>
      <c r="Q6" s="111"/>
      <c r="R6" s="111"/>
      <c r="S6" s="111"/>
      <c r="T6" s="273"/>
    </row>
    <row r="7" spans="1:36" ht="12.75" customHeight="1" x14ac:dyDescent="0.2">
      <c r="A7" s="361">
        <f>+quote79</f>
        <v>0.15</v>
      </c>
      <c r="B7" s="117" t="s">
        <v>1530</v>
      </c>
      <c r="F7" s="117" t="s">
        <v>852</v>
      </c>
      <c r="N7" s="111"/>
      <c r="O7" s="111"/>
      <c r="P7" s="111"/>
      <c r="Q7" s="111"/>
      <c r="R7" s="111"/>
      <c r="S7" s="111"/>
      <c r="T7" s="273"/>
    </row>
    <row r="8" spans="1:36" ht="12.75" customHeight="1" x14ac:dyDescent="0.2">
      <c r="A8" s="489" t="str">
        <f>+P0Q5</f>
        <v>Variable</v>
      </c>
      <c r="B8" s="117" t="s">
        <v>575</v>
      </c>
      <c r="N8" s="111"/>
      <c r="O8" s="111"/>
      <c r="P8" s="111"/>
      <c r="Q8" s="111"/>
      <c r="R8" s="111"/>
      <c r="S8" s="111"/>
      <c r="T8" s="273"/>
    </row>
    <row r="9" spans="1:36" ht="12.75" customHeight="1" thickBot="1" x14ac:dyDescent="0.25">
      <c r="N9" s="111"/>
      <c r="O9" s="111"/>
      <c r="P9" s="111"/>
      <c r="Q9" s="111"/>
      <c r="R9" s="111"/>
      <c r="S9" s="111"/>
      <c r="T9" s="273"/>
    </row>
    <row r="10" spans="1:36" ht="13.5" thickBot="1" x14ac:dyDescent="0.25">
      <c r="A10" s="50" t="s">
        <v>672</v>
      </c>
      <c r="B10" s="373"/>
      <c r="C10" s="373"/>
      <c r="D10" s="374"/>
      <c r="E10" s="372" t="s">
        <v>694</v>
      </c>
      <c r="F10" s="362" t="s">
        <v>526</v>
      </c>
      <c r="G10" s="366" t="s">
        <v>673</v>
      </c>
      <c r="H10" s="53" t="s">
        <v>675</v>
      </c>
      <c r="I10" s="53" t="s">
        <v>1446</v>
      </c>
      <c r="J10" s="53" t="s">
        <v>575</v>
      </c>
      <c r="N10" s="111"/>
      <c r="O10" s="111"/>
      <c r="P10" s="111"/>
      <c r="Q10" s="111"/>
      <c r="R10" s="111"/>
      <c r="S10" s="111"/>
      <c r="T10" s="111"/>
    </row>
    <row r="11" spans="1:36" ht="13.15" customHeight="1" x14ac:dyDescent="0.2">
      <c r="A11" s="117" t="s">
        <v>331</v>
      </c>
      <c r="D11" s="183"/>
      <c r="F11" s="128"/>
      <c r="G11" s="131" t="s">
        <v>674</v>
      </c>
      <c r="H11" s="121" t="s">
        <v>671</v>
      </c>
      <c r="I11" s="121"/>
      <c r="J11" s="121"/>
      <c r="L11" s="134"/>
      <c r="M11" s="129" t="s">
        <v>658</v>
      </c>
      <c r="N11" s="100" t="s">
        <v>659</v>
      </c>
      <c r="O11" s="101" t="s">
        <v>517</v>
      </c>
      <c r="P11" s="127"/>
      <c r="Q11" s="127" t="s">
        <v>447</v>
      </c>
      <c r="R11" s="928" t="s">
        <v>660</v>
      </c>
      <c r="S11" s="932"/>
      <c r="T11" s="929"/>
      <c r="V11" s="928" t="s">
        <v>1963</v>
      </c>
      <c r="W11" s="929"/>
      <c r="X11" s="928" t="s">
        <v>448</v>
      </c>
      <c r="Y11" s="929"/>
      <c r="Z11" s="101" t="s">
        <v>679</v>
      </c>
      <c r="AB11" s="101" t="s">
        <v>969</v>
      </c>
      <c r="AC11" s="101" t="s">
        <v>971</v>
      </c>
      <c r="AD11" s="101" t="s">
        <v>972</v>
      </c>
      <c r="AE11" s="101" t="s">
        <v>1343</v>
      </c>
      <c r="AF11" s="564" t="s">
        <v>662</v>
      </c>
      <c r="AG11" s="567" t="s">
        <v>1960</v>
      </c>
      <c r="AH11" s="924" t="s">
        <v>880</v>
      </c>
    </row>
    <row r="12" spans="1:36" ht="13.5" thickBot="1" x14ac:dyDescent="0.25">
      <c r="A12" s="84">
        <f>+P12q1</f>
        <v>111.94849972700983</v>
      </c>
      <c r="B12" s="371"/>
      <c r="C12" s="371"/>
      <c r="D12" s="375"/>
      <c r="E12" s="90">
        <f>+quote16</f>
        <v>2</v>
      </c>
      <c r="F12" s="363">
        <v>115</v>
      </c>
      <c r="G12" s="367">
        <f>+P12q2</f>
        <v>0.1095398778144054</v>
      </c>
      <c r="H12" s="126">
        <f>+p12q3</f>
        <v>61.669358292069255</v>
      </c>
      <c r="I12" s="126" t="s">
        <v>1449</v>
      </c>
      <c r="J12" s="224" t="str">
        <f>+P0Q5</f>
        <v>Variable</v>
      </c>
      <c r="K12" s="114"/>
      <c r="L12" s="135"/>
      <c r="M12" s="130" t="s">
        <v>661</v>
      </c>
      <c r="N12" s="102" t="s">
        <v>447</v>
      </c>
      <c r="O12" s="103"/>
      <c r="P12" s="102" t="s">
        <v>448</v>
      </c>
      <c r="Q12" s="141" t="s">
        <v>677</v>
      </c>
      <c r="R12" s="930"/>
      <c r="S12" s="933"/>
      <c r="T12" s="931"/>
      <c r="V12" s="930"/>
      <c r="W12" s="931"/>
      <c r="X12" s="930"/>
      <c r="Y12" s="931"/>
      <c r="Z12" s="225" t="s">
        <v>976</v>
      </c>
      <c r="AB12" s="225" t="s">
        <v>968</v>
      </c>
      <c r="AC12" s="225"/>
      <c r="AD12" s="225" t="s">
        <v>973</v>
      </c>
      <c r="AE12" s="225" t="s">
        <v>1344</v>
      </c>
      <c r="AF12" s="395" t="s">
        <v>1962</v>
      </c>
      <c r="AG12" s="395" t="s">
        <v>1961</v>
      </c>
      <c r="AH12" s="925"/>
    </row>
    <row r="13" spans="1:36" s="112" customFormat="1" ht="13.15" customHeight="1" x14ac:dyDescent="0.2">
      <c r="A13" s="356"/>
      <c r="B13" s="124"/>
      <c r="C13" s="124"/>
      <c r="D13" s="369"/>
      <c r="F13" s="364"/>
      <c r="G13" s="124"/>
      <c r="H13" s="119" t="s">
        <v>680</v>
      </c>
      <c r="I13" s="119"/>
      <c r="J13" s="132"/>
      <c r="K13" s="124"/>
      <c r="L13" s="140" t="s">
        <v>676</v>
      </c>
      <c r="M13" s="120"/>
      <c r="N13" s="105"/>
      <c r="O13" s="105"/>
      <c r="P13" s="105"/>
      <c r="Q13" s="105"/>
      <c r="R13" s="105"/>
      <c r="S13" s="106"/>
      <c r="T13" s="106"/>
      <c r="V13" s="105"/>
      <c r="W13" s="106"/>
      <c r="X13" s="106"/>
      <c r="Y13" s="106"/>
      <c r="Z13" s="104"/>
      <c r="AB13" s="104"/>
      <c r="AC13" s="104"/>
      <c r="AD13" s="104"/>
      <c r="AE13" s="104"/>
      <c r="AF13" s="104"/>
      <c r="AG13" s="104"/>
      <c r="AH13" s="925"/>
    </row>
    <row r="14" spans="1:36" s="113" customFormat="1" ht="13.5" thickBot="1" x14ac:dyDescent="0.25">
      <c r="A14" s="927" t="s">
        <v>1538</v>
      </c>
      <c r="B14" s="927"/>
      <c r="C14" s="927"/>
      <c r="D14" s="370"/>
      <c r="F14" s="365"/>
      <c r="G14" s="111"/>
      <c r="H14" s="121" t="s">
        <v>681</v>
      </c>
      <c r="I14" s="121"/>
      <c r="J14" s="133"/>
      <c r="K14" s="111"/>
      <c r="L14" s="136"/>
      <c r="M14" s="118" t="s">
        <v>662</v>
      </c>
      <c r="N14" s="107" t="s">
        <v>331</v>
      </c>
      <c r="O14" s="108" t="s">
        <v>663</v>
      </c>
      <c r="P14" s="108"/>
      <c r="Q14" s="108" t="s">
        <v>399</v>
      </c>
      <c r="R14" s="108" t="s">
        <v>664</v>
      </c>
      <c r="S14" s="109" t="s">
        <v>665</v>
      </c>
      <c r="T14" s="109" t="s">
        <v>983</v>
      </c>
      <c r="V14" s="108" t="s">
        <v>664</v>
      </c>
      <c r="W14" s="109" t="s">
        <v>665</v>
      </c>
      <c r="X14" s="109" t="s">
        <v>771</v>
      </c>
      <c r="Y14" s="109" t="s">
        <v>659</v>
      </c>
      <c r="Z14" s="110" t="s">
        <v>387</v>
      </c>
      <c r="AB14" s="110" t="s">
        <v>664</v>
      </c>
      <c r="AC14" s="110" t="s">
        <v>664</v>
      </c>
      <c r="AD14" s="110" t="s">
        <v>664</v>
      </c>
      <c r="AE14" s="110" t="s">
        <v>310</v>
      </c>
      <c r="AF14" s="110" t="s">
        <v>664</v>
      </c>
      <c r="AG14" s="110" t="s">
        <v>664</v>
      </c>
      <c r="AH14" s="926"/>
    </row>
    <row r="15" spans="1:36" x14ac:dyDescent="0.2">
      <c r="A15" s="93" t="s">
        <v>1539</v>
      </c>
      <c r="B15" s="93" t="s">
        <v>1525</v>
      </c>
      <c r="C15" s="93" t="s">
        <v>1540</v>
      </c>
      <c r="D15" s="376" t="s">
        <v>787</v>
      </c>
      <c r="F15" s="232" t="s">
        <v>578</v>
      </c>
      <c r="G15" s="125" t="s">
        <v>674</v>
      </c>
      <c r="H15" s="98" t="s">
        <v>671</v>
      </c>
      <c r="I15" s="98"/>
      <c r="J15" s="98"/>
      <c r="L15" s="136"/>
      <c r="M15" s="565">
        <v>2</v>
      </c>
      <c r="N15" s="566">
        <f>+M15+1</f>
        <v>3</v>
      </c>
      <c r="O15" s="566">
        <f t="shared" ref="O15:AF15" si="0">+N15+1</f>
        <v>4</v>
      </c>
      <c r="P15" s="566">
        <f t="shared" si="0"/>
        <v>5</v>
      </c>
      <c r="Q15" s="566">
        <f t="shared" si="0"/>
        <v>6</v>
      </c>
      <c r="R15" s="566">
        <f t="shared" si="0"/>
        <v>7</v>
      </c>
      <c r="S15" s="566">
        <f t="shared" si="0"/>
        <v>8</v>
      </c>
      <c r="T15" s="566">
        <f t="shared" si="0"/>
        <v>9</v>
      </c>
      <c r="U15" s="566">
        <f>+T15+1</f>
        <v>10</v>
      </c>
      <c r="V15" s="566">
        <f>+U15+1</f>
        <v>11</v>
      </c>
      <c r="W15" s="566">
        <f t="shared" si="0"/>
        <v>12</v>
      </c>
      <c r="X15" s="566">
        <f t="shared" si="0"/>
        <v>13</v>
      </c>
      <c r="Y15" s="566">
        <f t="shared" si="0"/>
        <v>14</v>
      </c>
      <c r="Z15" s="566">
        <f t="shared" si="0"/>
        <v>15</v>
      </c>
      <c r="AA15" s="566">
        <f t="shared" si="0"/>
        <v>16</v>
      </c>
      <c r="AB15" s="566">
        <f t="shared" si="0"/>
        <v>17</v>
      </c>
      <c r="AC15" s="566">
        <f t="shared" si="0"/>
        <v>18</v>
      </c>
      <c r="AD15" s="566">
        <f t="shared" si="0"/>
        <v>19</v>
      </c>
      <c r="AE15" s="566">
        <f t="shared" si="0"/>
        <v>20</v>
      </c>
      <c r="AF15" s="566">
        <f t="shared" si="0"/>
        <v>21</v>
      </c>
      <c r="AG15" s="566">
        <f>+AF15+1</f>
        <v>22</v>
      </c>
      <c r="AH15" s="566">
        <f>+AG15+1</f>
        <v>23</v>
      </c>
    </row>
    <row r="16" spans="1:36" x14ac:dyDescent="0.2">
      <c r="A16" s="368">
        <f t="shared" ref="A16" si="1">IF(AND(N16&gt;=_min1,N16&lt;=_max1),1,0)</f>
        <v>0</v>
      </c>
      <c r="B16" s="368">
        <f t="shared" ref="B16" si="2">IF(AND(A16=0,N16&gt;=_min2,N16&lt;=_max2),1,IF(A16=1,1,0))</f>
        <v>0</v>
      </c>
      <c r="C16" s="368">
        <f t="shared" ref="C16" si="3">IF(AND(B16=0,N16&gt;=_min3,N16&lt;=_max3),1,IF(B16=1,1,0))</f>
        <v>0</v>
      </c>
      <c r="D16" s="144">
        <f>IF(A16=1,1,IF(B16=1,2,IF(C16=1,3,0)))</f>
        <v>0</v>
      </c>
      <c r="E16" s="117">
        <f t="shared" ref="E16:E27" si="4">IF(quote16=2,1,)</f>
        <v>1</v>
      </c>
      <c r="F16" s="593">
        <v>1</v>
      </c>
      <c r="G16" s="123">
        <f>IF(M16&gt;=P12q2,1,0)</f>
        <v>1</v>
      </c>
      <c r="H16" s="123">
        <f>IF((N16/P12q1)*O16&gt;=p12q3,1,0)</f>
        <v>0</v>
      </c>
      <c r="I16" s="123">
        <f>IF(P0Q12=T16,1,0)</f>
        <v>1</v>
      </c>
      <c r="J16" s="123">
        <f>IF(P0Q5=Q16,1,0)</f>
        <v>1</v>
      </c>
      <c r="K16" s="654">
        <f t="shared" ref="K16:K37" si="5">MIN(E16:J16)*D16</f>
        <v>0</v>
      </c>
      <c r="L16" s="144">
        <f t="shared" ref="L16:L21" si="6">MIN(E16:J16)*D16</f>
        <v>0</v>
      </c>
      <c r="M16" s="137">
        <v>0.25</v>
      </c>
      <c r="N16" s="138">
        <v>8</v>
      </c>
      <c r="O16" s="139">
        <v>205</v>
      </c>
      <c r="P16" s="139">
        <v>115</v>
      </c>
      <c r="Q16" s="139" t="s">
        <v>400</v>
      </c>
      <c r="R16" s="142" t="s">
        <v>2228</v>
      </c>
      <c r="S16" s="143">
        <v>1072</v>
      </c>
      <c r="T16" s="143" t="s">
        <v>963</v>
      </c>
      <c r="U16" s="117"/>
      <c r="V16" s="142" t="s">
        <v>936</v>
      </c>
      <c r="W16" s="143">
        <v>791</v>
      </c>
      <c r="X16" s="143" t="s">
        <v>772</v>
      </c>
      <c r="Y16" s="143" t="s">
        <v>773</v>
      </c>
      <c r="Z16" s="272" t="s">
        <v>715</v>
      </c>
      <c r="AA16" s="117"/>
      <c r="AB16" s="142" t="s">
        <v>970</v>
      </c>
      <c r="AE16" s="329">
        <f t="shared" ref="AE16:AE27" si="7">0.625*25.4</f>
        <v>15.875</v>
      </c>
      <c r="AH16" s="122">
        <v>2</v>
      </c>
      <c r="AJ16" s="117">
        <v>1.7</v>
      </c>
    </row>
    <row r="17" spans="1:36" x14ac:dyDescent="0.2">
      <c r="A17" s="368">
        <f t="shared" ref="A17:A27" si="8">IF(AND(N17&gt;=_min1,N17&lt;=_max1),1,0)</f>
        <v>0</v>
      </c>
      <c r="B17" s="368">
        <f t="shared" ref="B17:B27" si="9">IF(AND(A17=0,N17&gt;=_min2,N17&lt;=_max2),1,IF(A17=1,1,0))</f>
        <v>0</v>
      </c>
      <c r="C17" s="368">
        <f t="shared" ref="C17:C27" si="10">IF(AND(B17=0,N17&gt;=_min3,N17&lt;=_max3),1,IF(B17=1,1,0))</f>
        <v>1</v>
      </c>
      <c r="D17" s="144">
        <f t="shared" ref="D17:D27" si="11">IF(A17=1,1,IF(B17=1,2,IF(C17=1,3,0)))</f>
        <v>3</v>
      </c>
      <c r="E17" s="117">
        <f t="shared" si="4"/>
        <v>1</v>
      </c>
      <c r="F17" s="593">
        <v>1</v>
      </c>
      <c r="G17" s="123">
        <f t="shared" ref="G17:G27" si="12">IF(M17&gt;=P12q2,1,0)</f>
        <v>1</v>
      </c>
      <c r="H17" s="123">
        <f t="shared" ref="H17:H27" si="13">IF((N17/P12q1)*O17&gt;=p12q3,1,0)</f>
        <v>0</v>
      </c>
      <c r="I17" s="123">
        <f t="shared" ref="I17:I27" si="14">IF(P0Q12=T17,1,0)</f>
        <v>1</v>
      </c>
      <c r="J17" s="123">
        <f t="shared" ref="J17:J27" si="15">IF(P0Q5=Q17,1,0)</f>
        <v>1</v>
      </c>
      <c r="K17" s="654">
        <f t="shared" si="5"/>
        <v>0</v>
      </c>
      <c r="L17" s="144">
        <f t="shared" si="6"/>
        <v>0</v>
      </c>
      <c r="M17" s="137">
        <v>0.25</v>
      </c>
      <c r="N17" s="138">
        <v>15</v>
      </c>
      <c r="O17" s="139">
        <v>200</v>
      </c>
      <c r="P17" s="139">
        <v>115</v>
      </c>
      <c r="Q17" s="139" t="s">
        <v>400</v>
      </c>
      <c r="R17" s="142" t="s">
        <v>2229</v>
      </c>
      <c r="S17" s="143">
        <v>1070</v>
      </c>
      <c r="T17" s="143" t="s">
        <v>963</v>
      </c>
      <c r="U17" s="117"/>
      <c r="V17" s="142" t="s">
        <v>936</v>
      </c>
      <c r="W17" s="143">
        <v>791</v>
      </c>
      <c r="X17" s="143" t="s">
        <v>772</v>
      </c>
      <c r="Y17" s="143" t="s">
        <v>773</v>
      </c>
      <c r="Z17" s="272" t="s">
        <v>715</v>
      </c>
      <c r="AA17" s="117"/>
      <c r="AB17" s="142" t="s">
        <v>970</v>
      </c>
      <c r="AE17" s="329">
        <f t="shared" si="7"/>
        <v>15.875</v>
      </c>
      <c r="AH17" s="122">
        <v>2</v>
      </c>
      <c r="AJ17" s="117">
        <v>1.7</v>
      </c>
    </row>
    <row r="18" spans="1:36" x14ac:dyDescent="0.2">
      <c r="A18" s="368">
        <f t="shared" si="8"/>
        <v>0</v>
      </c>
      <c r="B18" s="368">
        <f t="shared" si="9"/>
        <v>0</v>
      </c>
      <c r="C18" s="368">
        <f t="shared" si="10"/>
        <v>1</v>
      </c>
      <c r="D18" s="144">
        <f t="shared" si="11"/>
        <v>3</v>
      </c>
      <c r="E18" s="117">
        <f t="shared" si="4"/>
        <v>1</v>
      </c>
      <c r="F18" s="593">
        <v>1</v>
      </c>
      <c r="G18" s="123">
        <f t="shared" si="12"/>
        <v>1</v>
      </c>
      <c r="H18" s="123">
        <f t="shared" si="13"/>
        <v>0</v>
      </c>
      <c r="I18" s="123">
        <f t="shared" si="14"/>
        <v>1</v>
      </c>
      <c r="J18" s="123">
        <f t="shared" si="15"/>
        <v>1</v>
      </c>
      <c r="K18" s="654">
        <f t="shared" si="5"/>
        <v>0</v>
      </c>
      <c r="L18" s="144">
        <f t="shared" si="6"/>
        <v>0</v>
      </c>
      <c r="M18" s="137">
        <v>0.25</v>
      </c>
      <c r="N18" s="138">
        <v>26</v>
      </c>
      <c r="O18" s="139">
        <v>185</v>
      </c>
      <c r="P18" s="139">
        <v>115</v>
      </c>
      <c r="Q18" s="139" t="s">
        <v>400</v>
      </c>
      <c r="R18" s="142" t="s">
        <v>2230</v>
      </c>
      <c r="S18" s="143">
        <v>1068</v>
      </c>
      <c r="T18" s="143" t="s">
        <v>963</v>
      </c>
      <c r="U18" s="117"/>
      <c r="V18" s="142" t="s">
        <v>936</v>
      </c>
      <c r="W18" s="143">
        <v>791</v>
      </c>
      <c r="X18" s="143" t="s">
        <v>772</v>
      </c>
      <c r="Y18" s="143" t="s">
        <v>773</v>
      </c>
      <c r="Z18" s="272" t="s">
        <v>715</v>
      </c>
      <c r="AA18" s="117"/>
      <c r="AB18" s="142" t="s">
        <v>970</v>
      </c>
      <c r="AE18" s="329">
        <f t="shared" si="7"/>
        <v>15.875</v>
      </c>
      <c r="AH18" s="122">
        <v>2</v>
      </c>
      <c r="AJ18" s="117">
        <v>1.7</v>
      </c>
    </row>
    <row r="19" spans="1:36" x14ac:dyDescent="0.2">
      <c r="A19" s="368">
        <f t="shared" si="8"/>
        <v>0</v>
      </c>
      <c r="B19" s="368">
        <f t="shared" si="9"/>
        <v>0</v>
      </c>
      <c r="C19" s="368">
        <f t="shared" si="10"/>
        <v>1</v>
      </c>
      <c r="D19" s="144">
        <f t="shared" si="11"/>
        <v>3</v>
      </c>
      <c r="E19" s="117">
        <f t="shared" si="4"/>
        <v>1</v>
      </c>
      <c r="F19" s="593">
        <v>1</v>
      </c>
      <c r="G19" s="123">
        <f t="shared" si="12"/>
        <v>1</v>
      </c>
      <c r="H19" s="123">
        <f t="shared" si="13"/>
        <v>1</v>
      </c>
      <c r="I19" s="123">
        <f t="shared" si="14"/>
        <v>1</v>
      </c>
      <c r="J19" s="123">
        <f t="shared" si="15"/>
        <v>1</v>
      </c>
      <c r="K19" s="654">
        <f t="shared" si="5"/>
        <v>3</v>
      </c>
      <c r="L19" s="144">
        <f t="shared" si="6"/>
        <v>3</v>
      </c>
      <c r="M19" s="137">
        <v>0.25</v>
      </c>
      <c r="N19" s="138">
        <v>38</v>
      </c>
      <c r="O19" s="139">
        <v>190</v>
      </c>
      <c r="P19" s="139">
        <v>115</v>
      </c>
      <c r="Q19" s="139" t="s">
        <v>400</v>
      </c>
      <c r="R19" s="142" t="s">
        <v>2231</v>
      </c>
      <c r="S19" s="143">
        <v>1066</v>
      </c>
      <c r="T19" s="143" t="s">
        <v>963</v>
      </c>
      <c r="U19" s="117"/>
      <c r="V19" s="142" t="s">
        <v>936</v>
      </c>
      <c r="W19" s="143">
        <v>791</v>
      </c>
      <c r="X19" s="143" t="s">
        <v>772</v>
      </c>
      <c r="Y19" s="143" t="s">
        <v>773</v>
      </c>
      <c r="Z19" s="272" t="s">
        <v>715</v>
      </c>
      <c r="AA19" s="117"/>
      <c r="AB19" s="142" t="s">
        <v>970</v>
      </c>
      <c r="AE19" s="329">
        <f t="shared" si="7"/>
        <v>15.875</v>
      </c>
      <c r="AH19" s="122">
        <v>2</v>
      </c>
      <c r="AJ19" s="117">
        <v>1.7</v>
      </c>
    </row>
    <row r="20" spans="1:36" x14ac:dyDescent="0.2">
      <c r="A20" s="368">
        <f t="shared" si="8"/>
        <v>0</v>
      </c>
      <c r="B20" s="368">
        <f t="shared" si="9"/>
        <v>0</v>
      </c>
      <c r="C20" s="368">
        <f t="shared" si="10"/>
        <v>1</v>
      </c>
      <c r="D20" s="144">
        <f t="shared" si="11"/>
        <v>3</v>
      </c>
      <c r="E20" s="117">
        <f t="shared" si="4"/>
        <v>1</v>
      </c>
      <c r="F20" s="593">
        <v>1</v>
      </c>
      <c r="G20" s="123">
        <f t="shared" si="12"/>
        <v>1</v>
      </c>
      <c r="H20" s="123">
        <f t="shared" si="13"/>
        <v>1</v>
      </c>
      <c r="I20" s="123">
        <f t="shared" si="14"/>
        <v>1</v>
      </c>
      <c r="J20" s="123">
        <f t="shared" si="15"/>
        <v>1</v>
      </c>
      <c r="K20" s="654">
        <f t="shared" si="5"/>
        <v>3</v>
      </c>
      <c r="L20" s="144">
        <f t="shared" si="6"/>
        <v>3</v>
      </c>
      <c r="M20" s="137">
        <v>0.25</v>
      </c>
      <c r="N20" s="138">
        <v>46</v>
      </c>
      <c r="O20" s="139">
        <v>185</v>
      </c>
      <c r="P20" s="139">
        <v>115</v>
      </c>
      <c r="Q20" s="139" t="s">
        <v>400</v>
      </c>
      <c r="R20" s="142" t="s">
        <v>2232</v>
      </c>
      <c r="S20" s="143">
        <v>1064</v>
      </c>
      <c r="T20" s="143" t="s">
        <v>963</v>
      </c>
      <c r="U20" s="117"/>
      <c r="V20" s="142" t="s">
        <v>936</v>
      </c>
      <c r="W20" s="143">
        <v>791</v>
      </c>
      <c r="X20" s="143" t="s">
        <v>772</v>
      </c>
      <c r="Y20" s="143" t="s">
        <v>773</v>
      </c>
      <c r="Z20" s="272" t="s">
        <v>715</v>
      </c>
      <c r="AA20" s="117"/>
      <c r="AB20" s="142" t="s">
        <v>970</v>
      </c>
      <c r="AE20" s="329">
        <f t="shared" si="7"/>
        <v>15.875</v>
      </c>
      <c r="AH20" s="122">
        <v>2</v>
      </c>
      <c r="AJ20" s="117">
        <v>1.7</v>
      </c>
    </row>
    <row r="21" spans="1:36" x14ac:dyDescent="0.2">
      <c r="A21" s="368">
        <f t="shared" si="8"/>
        <v>0</v>
      </c>
      <c r="B21" s="368">
        <f t="shared" si="9"/>
        <v>1</v>
      </c>
      <c r="C21" s="368">
        <f t="shared" si="10"/>
        <v>1</v>
      </c>
      <c r="D21" s="144">
        <f t="shared" si="11"/>
        <v>2</v>
      </c>
      <c r="E21" s="117">
        <f t="shared" si="4"/>
        <v>1</v>
      </c>
      <c r="F21" s="593">
        <v>1</v>
      </c>
      <c r="G21" s="123">
        <f t="shared" si="12"/>
        <v>1</v>
      </c>
      <c r="H21" s="123">
        <f t="shared" si="13"/>
        <v>1</v>
      </c>
      <c r="I21" s="123">
        <f t="shared" si="14"/>
        <v>1</v>
      </c>
      <c r="J21" s="123">
        <f t="shared" si="15"/>
        <v>1</v>
      </c>
      <c r="K21" s="654">
        <f t="shared" si="5"/>
        <v>2</v>
      </c>
      <c r="L21" s="144">
        <f t="shared" si="6"/>
        <v>2</v>
      </c>
      <c r="M21" s="137">
        <v>0.25</v>
      </c>
      <c r="N21" s="138">
        <v>57</v>
      </c>
      <c r="O21" s="139">
        <v>157</v>
      </c>
      <c r="P21" s="139">
        <v>115</v>
      </c>
      <c r="Q21" s="139" t="s">
        <v>400</v>
      </c>
      <c r="R21" s="142" t="s">
        <v>2233</v>
      </c>
      <c r="S21" s="143">
        <v>1062</v>
      </c>
      <c r="T21" s="143" t="s">
        <v>963</v>
      </c>
      <c r="U21" s="117"/>
      <c r="V21" s="142" t="s">
        <v>936</v>
      </c>
      <c r="W21" s="143">
        <v>791</v>
      </c>
      <c r="X21" s="143" t="s">
        <v>772</v>
      </c>
      <c r="Y21" s="143" t="s">
        <v>773</v>
      </c>
      <c r="Z21" s="272" t="s">
        <v>715</v>
      </c>
      <c r="AA21" s="117"/>
      <c r="AB21" s="142" t="s">
        <v>970</v>
      </c>
      <c r="AE21" s="329">
        <f t="shared" si="7"/>
        <v>15.875</v>
      </c>
      <c r="AH21" s="122">
        <v>2</v>
      </c>
      <c r="AJ21" s="117">
        <v>1.7</v>
      </c>
    </row>
    <row r="22" spans="1:36" x14ac:dyDescent="0.2">
      <c r="A22" s="368">
        <f t="shared" si="8"/>
        <v>1</v>
      </c>
      <c r="B22" s="368">
        <f t="shared" si="9"/>
        <v>1</v>
      </c>
      <c r="C22" s="368">
        <f t="shared" si="10"/>
        <v>1</v>
      </c>
      <c r="D22" s="144">
        <f t="shared" si="11"/>
        <v>1</v>
      </c>
      <c r="E22" s="117">
        <f t="shared" si="4"/>
        <v>1</v>
      </c>
      <c r="F22" s="593">
        <v>1</v>
      </c>
      <c r="G22" s="123">
        <f t="shared" si="12"/>
        <v>1</v>
      </c>
      <c r="H22" s="123">
        <f t="shared" si="13"/>
        <v>1</v>
      </c>
      <c r="I22" s="123">
        <f t="shared" si="14"/>
        <v>1</v>
      </c>
      <c r="J22" s="123">
        <f t="shared" si="15"/>
        <v>1</v>
      </c>
      <c r="K22" s="654">
        <f t="shared" si="5"/>
        <v>1</v>
      </c>
      <c r="L22" s="144">
        <f>MIN(E22:J22)*D22</f>
        <v>1</v>
      </c>
      <c r="M22" s="137">
        <v>0.25</v>
      </c>
      <c r="N22" s="138">
        <v>84</v>
      </c>
      <c r="O22" s="139">
        <v>106</v>
      </c>
      <c r="P22" s="139">
        <v>115</v>
      </c>
      <c r="Q22" s="139" t="s">
        <v>400</v>
      </c>
      <c r="R22" s="142" t="s">
        <v>2234</v>
      </c>
      <c r="S22" s="143">
        <v>1060</v>
      </c>
      <c r="T22" s="143" t="s">
        <v>963</v>
      </c>
      <c r="U22" s="117"/>
      <c r="V22" s="142" t="s">
        <v>936</v>
      </c>
      <c r="W22" s="143">
        <v>791</v>
      </c>
      <c r="X22" s="143" t="s">
        <v>772</v>
      </c>
      <c r="Y22" s="143" t="s">
        <v>773</v>
      </c>
      <c r="Z22" s="272" t="s">
        <v>715</v>
      </c>
      <c r="AA22" s="117"/>
      <c r="AB22" s="142" t="s">
        <v>970</v>
      </c>
      <c r="AE22" s="329">
        <f t="shared" si="7"/>
        <v>15.875</v>
      </c>
      <c r="AH22" s="122">
        <v>2</v>
      </c>
      <c r="AJ22" s="117">
        <v>1.7</v>
      </c>
    </row>
    <row r="23" spans="1:36" x14ac:dyDescent="0.2">
      <c r="A23" s="368">
        <f t="shared" si="8"/>
        <v>1</v>
      </c>
      <c r="B23" s="368">
        <f t="shared" si="9"/>
        <v>1</v>
      </c>
      <c r="C23" s="368">
        <f t="shared" si="10"/>
        <v>1</v>
      </c>
      <c r="D23" s="144">
        <f t="shared" si="11"/>
        <v>1</v>
      </c>
      <c r="E23" s="117">
        <f t="shared" si="4"/>
        <v>1</v>
      </c>
      <c r="F23" s="593">
        <v>1</v>
      </c>
      <c r="G23" s="123">
        <f t="shared" si="12"/>
        <v>1</v>
      </c>
      <c r="H23" s="123">
        <f t="shared" si="13"/>
        <v>1</v>
      </c>
      <c r="I23" s="123">
        <f t="shared" si="14"/>
        <v>1</v>
      </c>
      <c r="J23" s="123">
        <f t="shared" si="15"/>
        <v>1</v>
      </c>
      <c r="K23" s="654">
        <f t="shared" si="5"/>
        <v>1</v>
      </c>
      <c r="L23" s="144">
        <f t="shared" ref="L23:L37" si="16">MIN(E23:J23)*D23</f>
        <v>1</v>
      </c>
      <c r="M23" s="137">
        <v>0.25</v>
      </c>
      <c r="N23" s="138">
        <v>123</v>
      </c>
      <c r="O23" s="139">
        <v>77</v>
      </c>
      <c r="P23" s="139">
        <v>115</v>
      </c>
      <c r="Q23" s="139" t="s">
        <v>400</v>
      </c>
      <c r="R23" s="142" t="s">
        <v>2235</v>
      </c>
      <c r="S23" s="143">
        <v>1058</v>
      </c>
      <c r="T23" s="143" t="s">
        <v>963</v>
      </c>
      <c r="U23" s="117"/>
      <c r="V23" s="142" t="s">
        <v>936</v>
      </c>
      <c r="W23" s="143">
        <v>791</v>
      </c>
      <c r="X23" s="143" t="s">
        <v>772</v>
      </c>
      <c r="Y23" s="143" t="s">
        <v>773</v>
      </c>
      <c r="Z23" s="272" t="s">
        <v>715</v>
      </c>
      <c r="AA23" s="117"/>
      <c r="AB23" s="142" t="s">
        <v>970</v>
      </c>
      <c r="AE23" s="329">
        <f t="shared" si="7"/>
        <v>15.875</v>
      </c>
      <c r="AH23" s="122">
        <v>2</v>
      </c>
      <c r="AJ23" s="117">
        <v>1.7</v>
      </c>
    </row>
    <row r="24" spans="1:36" x14ac:dyDescent="0.2">
      <c r="A24" s="368">
        <f t="shared" si="8"/>
        <v>0</v>
      </c>
      <c r="B24" s="368">
        <f t="shared" si="9"/>
        <v>0</v>
      </c>
      <c r="C24" s="368">
        <f t="shared" si="10"/>
        <v>0</v>
      </c>
      <c r="D24" s="144">
        <f t="shared" si="11"/>
        <v>0</v>
      </c>
      <c r="E24" s="117">
        <f t="shared" si="4"/>
        <v>1</v>
      </c>
      <c r="F24" s="593">
        <v>1</v>
      </c>
      <c r="G24" s="123">
        <f t="shared" si="12"/>
        <v>1</v>
      </c>
      <c r="H24" s="123">
        <f t="shared" si="13"/>
        <v>1</v>
      </c>
      <c r="I24" s="123">
        <f t="shared" si="14"/>
        <v>1</v>
      </c>
      <c r="J24" s="123">
        <f t="shared" si="15"/>
        <v>1</v>
      </c>
      <c r="K24" s="654">
        <f t="shared" si="5"/>
        <v>0</v>
      </c>
      <c r="L24" s="144">
        <f t="shared" si="16"/>
        <v>0</v>
      </c>
      <c r="M24" s="137">
        <v>0.25</v>
      </c>
      <c r="N24" s="138">
        <v>181</v>
      </c>
      <c r="O24" s="139">
        <v>46</v>
      </c>
      <c r="P24" s="139">
        <v>115</v>
      </c>
      <c r="Q24" s="139" t="s">
        <v>400</v>
      </c>
      <c r="R24" s="142" t="s">
        <v>2236</v>
      </c>
      <c r="S24" s="143">
        <v>1056</v>
      </c>
      <c r="T24" s="143" t="s">
        <v>963</v>
      </c>
      <c r="U24" s="117"/>
      <c r="V24" s="142" t="s">
        <v>936</v>
      </c>
      <c r="W24" s="143">
        <v>791</v>
      </c>
      <c r="X24" s="143" t="s">
        <v>772</v>
      </c>
      <c r="Y24" s="143" t="s">
        <v>773</v>
      </c>
      <c r="Z24" s="272" t="s">
        <v>715</v>
      </c>
      <c r="AA24" s="117"/>
      <c r="AB24" s="142" t="s">
        <v>970</v>
      </c>
      <c r="AE24" s="329">
        <f t="shared" si="7"/>
        <v>15.875</v>
      </c>
      <c r="AH24" s="122">
        <v>2</v>
      </c>
      <c r="AJ24" s="117">
        <v>1.7</v>
      </c>
    </row>
    <row r="25" spans="1:36" x14ac:dyDescent="0.2">
      <c r="A25" s="368">
        <f t="shared" si="8"/>
        <v>0</v>
      </c>
      <c r="B25" s="368">
        <f t="shared" si="9"/>
        <v>0</v>
      </c>
      <c r="C25" s="368">
        <f t="shared" si="10"/>
        <v>0</v>
      </c>
      <c r="D25" s="144">
        <f t="shared" si="11"/>
        <v>0</v>
      </c>
      <c r="E25" s="117">
        <f t="shared" si="4"/>
        <v>1</v>
      </c>
      <c r="F25" s="593">
        <v>1</v>
      </c>
      <c r="G25" s="123">
        <f t="shared" si="12"/>
        <v>1</v>
      </c>
      <c r="H25" s="123">
        <f t="shared" si="13"/>
        <v>1</v>
      </c>
      <c r="I25" s="123">
        <f t="shared" si="14"/>
        <v>1</v>
      </c>
      <c r="J25" s="123">
        <f t="shared" si="15"/>
        <v>1</v>
      </c>
      <c r="K25" s="654">
        <f t="shared" si="5"/>
        <v>0</v>
      </c>
      <c r="L25" s="144">
        <f t="shared" si="16"/>
        <v>0</v>
      </c>
      <c r="M25" s="137">
        <v>0.25</v>
      </c>
      <c r="N25" s="138">
        <v>266</v>
      </c>
      <c r="O25" s="139">
        <v>31</v>
      </c>
      <c r="P25" s="139">
        <v>115</v>
      </c>
      <c r="Q25" s="139" t="s">
        <v>400</v>
      </c>
      <c r="R25" s="142" t="s">
        <v>2237</v>
      </c>
      <c r="S25" s="143">
        <v>1054</v>
      </c>
      <c r="T25" s="143" t="s">
        <v>963</v>
      </c>
      <c r="U25" s="117"/>
      <c r="V25" s="142" t="s">
        <v>936</v>
      </c>
      <c r="W25" s="143">
        <v>791</v>
      </c>
      <c r="X25" s="143" t="s">
        <v>772</v>
      </c>
      <c r="Y25" s="143" t="s">
        <v>773</v>
      </c>
      <c r="Z25" s="272" t="s">
        <v>715</v>
      </c>
      <c r="AA25" s="117"/>
      <c r="AB25" s="142" t="s">
        <v>970</v>
      </c>
      <c r="AE25" s="329">
        <f t="shared" si="7"/>
        <v>15.875</v>
      </c>
      <c r="AH25" s="122">
        <v>2</v>
      </c>
      <c r="AJ25" s="117">
        <v>1.7</v>
      </c>
    </row>
    <row r="26" spans="1:36" x14ac:dyDescent="0.2">
      <c r="A26" s="368">
        <f t="shared" si="8"/>
        <v>0</v>
      </c>
      <c r="B26" s="368">
        <f t="shared" si="9"/>
        <v>0</v>
      </c>
      <c r="C26" s="368">
        <f t="shared" si="10"/>
        <v>0</v>
      </c>
      <c r="D26" s="144">
        <f t="shared" si="11"/>
        <v>0</v>
      </c>
      <c r="E26" s="117">
        <f t="shared" si="4"/>
        <v>1</v>
      </c>
      <c r="F26" s="593">
        <v>1</v>
      </c>
      <c r="G26" s="123">
        <f t="shared" si="12"/>
        <v>1</v>
      </c>
      <c r="H26" s="123">
        <f t="shared" si="13"/>
        <v>1</v>
      </c>
      <c r="I26" s="123">
        <f t="shared" si="14"/>
        <v>1</v>
      </c>
      <c r="J26" s="123">
        <f t="shared" si="15"/>
        <v>1</v>
      </c>
      <c r="K26" s="654">
        <f t="shared" si="5"/>
        <v>0</v>
      </c>
      <c r="L26" s="144">
        <f t="shared" si="16"/>
        <v>0</v>
      </c>
      <c r="M26" s="137">
        <v>0.25</v>
      </c>
      <c r="N26" s="138">
        <v>455</v>
      </c>
      <c r="O26" s="139">
        <v>18</v>
      </c>
      <c r="P26" s="139">
        <v>115</v>
      </c>
      <c r="Q26" s="139" t="s">
        <v>400</v>
      </c>
      <c r="R26" s="142" t="s">
        <v>2238</v>
      </c>
      <c r="S26" s="143">
        <v>1052</v>
      </c>
      <c r="T26" s="143" t="s">
        <v>963</v>
      </c>
      <c r="U26" s="117"/>
      <c r="V26" s="142" t="s">
        <v>936</v>
      </c>
      <c r="W26" s="143">
        <v>791</v>
      </c>
      <c r="X26" s="143" t="s">
        <v>772</v>
      </c>
      <c r="Y26" s="143" t="s">
        <v>773</v>
      </c>
      <c r="Z26" s="272" t="s">
        <v>715</v>
      </c>
      <c r="AA26" s="117"/>
      <c r="AB26" s="142" t="s">
        <v>970</v>
      </c>
      <c r="AE26" s="329">
        <f t="shared" si="7"/>
        <v>15.875</v>
      </c>
      <c r="AH26" s="122">
        <v>2</v>
      </c>
      <c r="AJ26" s="117">
        <v>1.7</v>
      </c>
    </row>
    <row r="27" spans="1:36" x14ac:dyDescent="0.2">
      <c r="A27" s="368">
        <f t="shared" si="8"/>
        <v>0</v>
      </c>
      <c r="B27" s="368">
        <f t="shared" si="9"/>
        <v>0</v>
      </c>
      <c r="C27" s="368">
        <f t="shared" si="10"/>
        <v>0</v>
      </c>
      <c r="D27" s="144">
        <f t="shared" si="11"/>
        <v>0</v>
      </c>
      <c r="E27" s="117">
        <f t="shared" si="4"/>
        <v>1</v>
      </c>
      <c r="F27" s="593">
        <v>1</v>
      </c>
      <c r="G27" s="123">
        <f t="shared" si="12"/>
        <v>1</v>
      </c>
      <c r="H27" s="123">
        <f t="shared" si="13"/>
        <v>0</v>
      </c>
      <c r="I27" s="123">
        <f t="shared" si="14"/>
        <v>1</v>
      </c>
      <c r="J27" s="123">
        <f t="shared" si="15"/>
        <v>1</v>
      </c>
      <c r="K27" s="654">
        <f t="shared" si="5"/>
        <v>0</v>
      </c>
      <c r="L27" s="144">
        <f t="shared" si="16"/>
        <v>0</v>
      </c>
      <c r="M27" s="137">
        <v>0.25</v>
      </c>
      <c r="N27" s="138">
        <v>658</v>
      </c>
      <c r="O27" s="139">
        <v>9</v>
      </c>
      <c r="P27" s="139">
        <v>115</v>
      </c>
      <c r="Q27" s="139" t="s">
        <v>400</v>
      </c>
      <c r="R27" s="142" t="s">
        <v>2239</v>
      </c>
      <c r="S27" s="143">
        <v>1050</v>
      </c>
      <c r="T27" s="143" t="s">
        <v>963</v>
      </c>
      <c r="U27" s="117"/>
      <c r="V27" s="142" t="s">
        <v>936</v>
      </c>
      <c r="W27" s="143">
        <v>791</v>
      </c>
      <c r="X27" s="143" t="s">
        <v>772</v>
      </c>
      <c r="Y27" s="143" t="s">
        <v>773</v>
      </c>
      <c r="Z27" s="272" t="s">
        <v>715</v>
      </c>
      <c r="AA27" s="117"/>
      <c r="AB27" s="142" t="s">
        <v>970</v>
      </c>
      <c r="AE27" s="329">
        <f t="shared" si="7"/>
        <v>15.875</v>
      </c>
      <c r="AH27" s="122">
        <v>2</v>
      </c>
      <c r="AJ27" s="117">
        <v>1.7</v>
      </c>
    </row>
    <row r="28" spans="1:36" x14ac:dyDescent="0.2">
      <c r="A28" s="368">
        <f>IF(AND(N28&gt;=_min1,N28&lt;=_max1),1,0)</f>
        <v>0</v>
      </c>
      <c r="B28" s="368">
        <f>IF(AND(A28=0,N28&gt;=_min2,N28&lt;=_max2),1,IF(A28=1,1,0))</f>
        <v>0</v>
      </c>
      <c r="C28" s="368">
        <f>IF(AND(B28=0,N28&gt;=_min3,N28&lt;=_max3),1,IF(B28=1,1,0))</f>
        <v>0</v>
      </c>
      <c r="D28" s="144">
        <f t="shared" ref="D28:D30" si="17">IF(A28=1,1,IF(B28=1,2,IF(C28=1,3,0)))</f>
        <v>0</v>
      </c>
      <c r="E28" s="117">
        <f t="shared" ref="E28:E44" si="18">IF(quote16=2,1,)</f>
        <v>1</v>
      </c>
      <c r="F28" s="593">
        <v>1</v>
      </c>
      <c r="G28" s="123">
        <f t="shared" ref="G28:G30" si="19">IF(M28&gt;=P12q2,1,0)</f>
        <v>1</v>
      </c>
      <c r="H28" s="123">
        <f t="shared" ref="H28:H30" si="20">IF((N28/P12q1)*O28&gt;=p12q3,1,0)</f>
        <v>0</v>
      </c>
      <c r="I28" s="123">
        <f t="shared" ref="I28:I37" si="21">IF(P0Q12=T28,1,0)</f>
        <v>1</v>
      </c>
      <c r="J28" s="123">
        <f t="shared" ref="J28:J30" si="22">IF(P0Q5=Q28,1,0)</f>
        <v>1</v>
      </c>
      <c r="K28" s="654">
        <f t="shared" si="5"/>
        <v>0</v>
      </c>
      <c r="L28" s="144">
        <f t="shared" si="16"/>
        <v>0</v>
      </c>
      <c r="M28" s="137">
        <v>0.375</v>
      </c>
      <c r="N28" s="138">
        <v>8</v>
      </c>
      <c r="O28" s="139">
        <v>350</v>
      </c>
      <c r="P28" s="139">
        <v>115</v>
      </c>
      <c r="Q28" s="139" t="s">
        <v>400</v>
      </c>
      <c r="R28" s="142" t="s">
        <v>2287</v>
      </c>
      <c r="S28" s="143">
        <v>5049</v>
      </c>
      <c r="T28" s="143" t="s">
        <v>963</v>
      </c>
      <c r="U28" s="117"/>
      <c r="V28" s="142" t="s">
        <v>936</v>
      </c>
      <c r="W28" s="143">
        <v>790</v>
      </c>
      <c r="X28" s="143" t="s">
        <v>772</v>
      </c>
      <c r="Y28" s="143" t="s">
        <v>773</v>
      </c>
      <c r="Z28" s="272" t="s">
        <v>715</v>
      </c>
      <c r="AA28" s="117"/>
      <c r="AB28" s="142" t="s">
        <v>974</v>
      </c>
      <c r="AE28" s="329">
        <f>0.75*25.4</f>
        <v>19.049999999999997</v>
      </c>
      <c r="AH28" s="122">
        <v>2</v>
      </c>
    </row>
    <row r="29" spans="1:36" x14ac:dyDescent="0.2">
      <c r="A29" s="368">
        <f>IF(AND(N29&gt;=_min1,N29&lt;=_max1),1,0)</f>
        <v>0</v>
      </c>
      <c r="B29" s="368">
        <f>IF(AND(A29=0,N29&gt;=_min2,N29&lt;=_max2),1,IF(A29=1,1,0))</f>
        <v>0</v>
      </c>
      <c r="C29" s="368">
        <f>IF(AND(B29=0,N29&gt;=_min3,N29&lt;=_max3),1,IF(B29=1,1,0))</f>
        <v>1</v>
      </c>
      <c r="D29" s="144">
        <f t="shared" si="17"/>
        <v>3</v>
      </c>
      <c r="E29" s="117">
        <f t="shared" si="18"/>
        <v>1</v>
      </c>
      <c r="F29" s="593">
        <v>1</v>
      </c>
      <c r="G29" s="123">
        <f t="shared" si="19"/>
        <v>1</v>
      </c>
      <c r="H29" s="123">
        <f t="shared" si="20"/>
        <v>0</v>
      </c>
      <c r="I29" s="123">
        <f t="shared" si="21"/>
        <v>1</v>
      </c>
      <c r="J29" s="123">
        <f t="shared" si="22"/>
        <v>1</v>
      </c>
      <c r="K29" s="654">
        <f t="shared" si="5"/>
        <v>0</v>
      </c>
      <c r="L29" s="144">
        <f t="shared" si="16"/>
        <v>0</v>
      </c>
      <c r="M29" s="137">
        <v>0.375</v>
      </c>
      <c r="N29" s="138">
        <v>14</v>
      </c>
      <c r="O29" s="139">
        <v>350</v>
      </c>
      <c r="P29" s="139">
        <v>115</v>
      </c>
      <c r="Q29" s="139" t="s">
        <v>400</v>
      </c>
      <c r="R29" s="142" t="s">
        <v>2289</v>
      </c>
      <c r="S29" s="143">
        <v>5048</v>
      </c>
      <c r="T29" s="143" t="s">
        <v>963</v>
      </c>
      <c r="U29" s="117"/>
      <c r="V29" s="142" t="s">
        <v>936</v>
      </c>
      <c r="W29" s="143">
        <v>790</v>
      </c>
      <c r="X29" s="143" t="s">
        <v>772</v>
      </c>
      <c r="Y29" s="143" t="s">
        <v>773</v>
      </c>
      <c r="Z29" s="272" t="s">
        <v>715</v>
      </c>
      <c r="AA29" s="117"/>
      <c r="AB29" s="142" t="s">
        <v>974</v>
      </c>
      <c r="AE29" s="329">
        <f>0.75*25.4</f>
        <v>19.049999999999997</v>
      </c>
      <c r="AH29" s="122">
        <v>2</v>
      </c>
    </row>
    <row r="30" spans="1:36" x14ac:dyDescent="0.2">
      <c r="A30" s="368">
        <f>IF(AND(N30&gt;=_min1,N30&lt;=_max1),1,0)</f>
        <v>0</v>
      </c>
      <c r="B30" s="368">
        <f>IF(AND(A30=0,N30&gt;=_min2,N30&lt;=_max2),1,IF(A30=1,1,0))</f>
        <v>0</v>
      </c>
      <c r="C30" s="368">
        <f>IF(AND(B30=0,N30&gt;=_min3,N30&lt;=_max3),1,IF(B30=1,1,0))</f>
        <v>1</v>
      </c>
      <c r="D30" s="144">
        <f t="shared" si="17"/>
        <v>3</v>
      </c>
      <c r="E30" s="117">
        <f t="shared" si="18"/>
        <v>1</v>
      </c>
      <c r="F30" s="593">
        <v>1</v>
      </c>
      <c r="G30" s="123">
        <f t="shared" si="19"/>
        <v>1</v>
      </c>
      <c r="H30" s="123">
        <f t="shared" si="20"/>
        <v>1</v>
      </c>
      <c r="I30" s="123">
        <f t="shared" si="21"/>
        <v>1</v>
      </c>
      <c r="J30" s="123">
        <f t="shared" si="22"/>
        <v>1</v>
      </c>
      <c r="K30" s="654">
        <f t="shared" si="5"/>
        <v>3</v>
      </c>
      <c r="L30" s="144">
        <f t="shared" si="16"/>
        <v>3</v>
      </c>
      <c r="M30" s="137">
        <v>0.375</v>
      </c>
      <c r="N30" s="138">
        <v>21</v>
      </c>
      <c r="O30" s="139">
        <v>350</v>
      </c>
      <c r="P30" s="139">
        <v>115</v>
      </c>
      <c r="Q30" s="139" t="s">
        <v>400</v>
      </c>
      <c r="R30" s="142" t="s">
        <v>2288</v>
      </c>
      <c r="S30" s="143">
        <v>5047</v>
      </c>
      <c r="T30" s="143" t="s">
        <v>963</v>
      </c>
      <c r="U30" s="117"/>
      <c r="V30" s="142" t="s">
        <v>936</v>
      </c>
      <c r="W30" s="143">
        <v>790</v>
      </c>
      <c r="X30" s="143" t="s">
        <v>772</v>
      </c>
      <c r="Y30" s="143" t="s">
        <v>773</v>
      </c>
      <c r="Z30" s="272" t="s">
        <v>715</v>
      </c>
      <c r="AA30" s="117"/>
      <c r="AB30" s="142" t="s">
        <v>974</v>
      </c>
      <c r="AE30" s="329">
        <f>0.75*25.4</f>
        <v>19.049999999999997</v>
      </c>
      <c r="AH30" s="122">
        <v>2</v>
      </c>
    </row>
    <row r="31" spans="1:36" x14ac:dyDescent="0.2">
      <c r="A31" s="368">
        <f t="shared" ref="A31:A37" si="23">IF(AND(N31&gt;=_min1,N31&lt;=_max1),1,0)</f>
        <v>0</v>
      </c>
      <c r="B31" s="368">
        <f t="shared" ref="B31:B37" si="24">IF(AND(A31=0,N31&gt;=_min2,N31&lt;=_max2),1,IF(A31=1,1,0))</f>
        <v>0</v>
      </c>
      <c r="C31" s="368">
        <f t="shared" ref="C31:C37" si="25">IF(AND(B31=0,N31&gt;=_min3,N31&lt;=_max3),1,IF(B31=1,1,0))</f>
        <v>1</v>
      </c>
      <c r="D31" s="144">
        <f t="shared" ref="D31:D37" si="26">IF(A31=1,1,IF(B31=1,2,IF(C31=1,3,0)))</f>
        <v>3</v>
      </c>
      <c r="E31" s="117">
        <f t="shared" si="18"/>
        <v>1</v>
      </c>
      <c r="F31" s="593">
        <v>1</v>
      </c>
      <c r="G31" s="123">
        <f t="shared" ref="G31:G37" si="27">IF(M31&gt;=P12q2,1,0)</f>
        <v>1</v>
      </c>
      <c r="H31" s="123">
        <f t="shared" ref="H31:H37" si="28">IF((N31/P12q1)*O31&gt;=p12q3,1,0)</f>
        <v>1</v>
      </c>
      <c r="I31" s="123">
        <f t="shared" si="21"/>
        <v>1</v>
      </c>
      <c r="J31" s="123">
        <f t="shared" ref="J31:J37" si="29">IF(P0Q5=Q31,1,0)</f>
        <v>1</v>
      </c>
      <c r="K31" s="654">
        <f t="shared" si="5"/>
        <v>3</v>
      </c>
      <c r="L31" s="144">
        <f t="shared" si="16"/>
        <v>3</v>
      </c>
      <c r="M31" s="137">
        <v>0.375</v>
      </c>
      <c r="N31" s="138">
        <v>42</v>
      </c>
      <c r="O31" s="139">
        <v>350</v>
      </c>
      <c r="P31" s="139">
        <v>115</v>
      </c>
      <c r="Q31" s="139" t="s">
        <v>400</v>
      </c>
      <c r="R31" s="142" t="s">
        <v>2290</v>
      </c>
      <c r="S31" s="143">
        <v>5046</v>
      </c>
      <c r="T31" s="143" t="s">
        <v>963</v>
      </c>
      <c r="U31" s="117"/>
      <c r="V31" s="142" t="s">
        <v>936</v>
      </c>
      <c r="W31" s="143">
        <v>791</v>
      </c>
      <c r="X31" s="143" t="s">
        <v>772</v>
      </c>
      <c r="Y31" s="143" t="s">
        <v>773</v>
      </c>
      <c r="Z31" s="272" t="s">
        <v>715</v>
      </c>
      <c r="AA31" s="117"/>
      <c r="AB31" s="142" t="s">
        <v>974</v>
      </c>
      <c r="AE31" s="329">
        <f t="shared" ref="AE31:AE37" si="30">0.75*25.4</f>
        <v>19.049999999999997</v>
      </c>
    </row>
    <row r="32" spans="1:36" x14ac:dyDescent="0.2">
      <c r="A32" s="656">
        <v>1</v>
      </c>
      <c r="B32" s="656">
        <v>1</v>
      </c>
      <c r="C32" s="656">
        <v>1</v>
      </c>
      <c r="D32" s="144">
        <f t="shared" si="26"/>
        <v>1</v>
      </c>
      <c r="E32" s="117">
        <f t="shared" si="18"/>
        <v>1</v>
      </c>
      <c r="F32" s="593">
        <v>1</v>
      </c>
      <c r="G32" s="123">
        <f t="shared" si="27"/>
        <v>1</v>
      </c>
      <c r="H32" s="123">
        <f t="shared" si="28"/>
        <v>1</v>
      </c>
      <c r="I32" s="123">
        <f t="shared" si="21"/>
        <v>1</v>
      </c>
      <c r="J32" s="123">
        <f t="shared" si="29"/>
        <v>1</v>
      </c>
      <c r="K32" s="654">
        <f t="shared" si="5"/>
        <v>1</v>
      </c>
      <c r="L32" s="144">
        <f t="shared" si="16"/>
        <v>1</v>
      </c>
      <c r="M32" s="137">
        <v>0.375</v>
      </c>
      <c r="N32" s="138">
        <v>63</v>
      </c>
      <c r="O32" s="139">
        <v>265</v>
      </c>
      <c r="P32" s="139">
        <v>115</v>
      </c>
      <c r="Q32" s="139" t="s">
        <v>400</v>
      </c>
      <c r="R32" s="142" t="s">
        <v>2291</v>
      </c>
      <c r="S32" s="143">
        <v>5045</v>
      </c>
      <c r="T32" s="143" t="s">
        <v>963</v>
      </c>
      <c r="U32" s="117"/>
      <c r="V32" s="142" t="s">
        <v>936</v>
      </c>
      <c r="W32" s="143">
        <v>791</v>
      </c>
      <c r="X32" s="143" t="s">
        <v>772</v>
      </c>
      <c r="Y32" s="143" t="s">
        <v>773</v>
      </c>
      <c r="Z32" s="272" t="s">
        <v>715</v>
      </c>
      <c r="AA32" s="117"/>
      <c r="AB32" s="142" t="s">
        <v>974</v>
      </c>
      <c r="AE32" s="329">
        <f t="shared" si="30"/>
        <v>19.049999999999997</v>
      </c>
    </row>
    <row r="33" spans="1:34" x14ac:dyDescent="0.2">
      <c r="A33" s="368">
        <f t="shared" si="23"/>
        <v>1</v>
      </c>
      <c r="B33" s="368">
        <f t="shared" si="24"/>
        <v>1</v>
      </c>
      <c r="C33" s="368">
        <f t="shared" si="25"/>
        <v>1</v>
      </c>
      <c r="D33" s="144">
        <f t="shared" si="26"/>
        <v>1</v>
      </c>
      <c r="E33" s="117">
        <f t="shared" si="18"/>
        <v>1</v>
      </c>
      <c r="F33" s="593">
        <v>1</v>
      </c>
      <c r="G33" s="123">
        <f t="shared" si="27"/>
        <v>1</v>
      </c>
      <c r="H33" s="123">
        <f t="shared" si="28"/>
        <v>1</v>
      </c>
      <c r="I33" s="123">
        <f t="shared" si="21"/>
        <v>1</v>
      </c>
      <c r="J33" s="123">
        <f t="shared" si="29"/>
        <v>1</v>
      </c>
      <c r="K33" s="654">
        <f t="shared" si="5"/>
        <v>1</v>
      </c>
      <c r="L33" s="144">
        <f t="shared" si="16"/>
        <v>1</v>
      </c>
      <c r="M33" s="137">
        <v>0.375</v>
      </c>
      <c r="N33" s="138">
        <v>83</v>
      </c>
      <c r="O33" s="139">
        <v>248</v>
      </c>
      <c r="P33" s="139">
        <v>115</v>
      </c>
      <c r="Q33" s="139" t="s">
        <v>400</v>
      </c>
      <c r="R33" s="142" t="s">
        <v>2292</v>
      </c>
      <c r="S33" s="143">
        <v>5044</v>
      </c>
      <c r="T33" s="143" t="s">
        <v>963</v>
      </c>
      <c r="U33" s="117"/>
      <c r="V33" s="142" t="s">
        <v>936</v>
      </c>
      <c r="W33" s="143">
        <v>791</v>
      </c>
      <c r="X33" s="143" t="s">
        <v>772</v>
      </c>
      <c r="Y33" s="143" t="s">
        <v>773</v>
      </c>
      <c r="Z33" s="272" t="s">
        <v>715</v>
      </c>
      <c r="AA33" s="117"/>
      <c r="AB33" s="142" t="s">
        <v>974</v>
      </c>
      <c r="AE33" s="329">
        <f t="shared" si="30"/>
        <v>19.049999999999997</v>
      </c>
    </row>
    <row r="34" spans="1:34" x14ac:dyDescent="0.2">
      <c r="A34" s="368">
        <f t="shared" si="23"/>
        <v>0</v>
      </c>
      <c r="B34" s="368">
        <f t="shared" si="24"/>
        <v>1</v>
      </c>
      <c r="C34" s="368">
        <f t="shared" si="25"/>
        <v>1</v>
      </c>
      <c r="D34" s="144">
        <f t="shared" si="26"/>
        <v>2</v>
      </c>
      <c r="E34" s="117">
        <f t="shared" si="18"/>
        <v>1</v>
      </c>
      <c r="F34" s="593">
        <v>1</v>
      </c>
      <c r="G34" s="123">
        <f t="shared" si="27"/>
        <v>1</v>
      </c>
      <c r="H34" s="123">
        <f t="shared" si="28"/>
        <v>1</v>
      </c>
      <c r="I34" s="123">
        <f t="shared" si="21"/>
        <v>1</v>
      </c>
      <c r="J34" s="123">
        <f t="shared" si="29"/>
        <v>1</v>
      </c>
      <c r="K34" s="654">
        <f t="shared" si="5"/>
        <v>2</v>
      </c>
      <c r="L34" s="144">
        <f t="shared" si="16"/>
        <v>2</v>
      </c>
      <c r="M34" s="137">
        <v>0.375</v>
      </c>
      <c r="N34" s="138">
        <v>125</v>
      </c>
      <c r="O34" s="139">
        <v>165</v>
      </c>
      <c r="P34" s="139">
        <v>115</v>
      </c>
      <c r="Q34" s="139" t="s">
        <v>400</v>
      </c>
      <c r="R34" s="142" t="s">
        <v>2293</v>
      </c>
      <c r="S34" s="143">
        <v>5043</v>
      </c>
      <c r="T34" s="143" t="s">
        <v>963</v>
      </c>
      <c r="U34" s="117"/>
      <c r="V34" s="142" t="s">
        <v>936</v>
      </c>
      <c r="W34" s="143">
        <v>791</v>
      </c>
      <c r="X34" s="143" t="s">
        <v>772</v>
      </c>
      <c r="Y34" s="143" t="s">
        <v>773</v>
      </c>
      <c r="Z34" s="272" t="s">
        <v>715</v>
      </c>
      <c r="AA34" s="117"/>
      <c r="AB34" s="142" t="s">
        <v>974</v>
      </c>
      <c r="AE34" s="329">
        <f t="shared" si="30"/>
        <v>19.049999999999997</v>
      </c>
    </row>
    <row r="35" spans="1:34" x14ac:dyDescent="0.2">
      <c r="A35" s="368">
        <f t="shared" si="23"/>
        <v>0</v>
      </c>
      <c r="B35" s="368">
        <f t="shared" si="24"/>
        <v>0</v>
      </c>
      <c r="C35" s="368">
        <f t="shared" si="25"/>
        <v>0</v>
      </c>
      <c r="D35" s="144">
        <f t="shared" si="26"/>
        <v>0</v>
      </c>
      <c r="E35" s="117">
        <f t="shared" si="18"/>
        <v>1</v>
      </c>
      <c r="F35" s="593">
        <v>1</v>
      </c>
      <c r="G35" s="123">
        <f t="shared" si="27"/>
        <v>1</v>
      </c>
      <c r="H35" s="123">
        <f t="shared" si="28"/>
        <v>1</v>
      </c>
      <c r="I35" s="123">
        <f t="shared" si="21"/>
        <v>1</v>
      </c>
      <c r="J35" s="123">
        <f t="shared" si="29"/>
        <v>1</v>
      </c>
      <c r="K35" s="654">
        <f t="shared" si="5"/>
        <v>0</v>
      </c>
      <c r="L35" s="144">
        <f t="shared" si="16"/>
        <v>0</v>
      </c>
      <c r="M35" s="137">
        <v>0.375</v>
      </c>
      <c r="N35" s="138">
        <v>167</v>
      </c>
      <c r="O35" s="139">
        <v>124</v>
      </c>
      <c r="P35" s="139">
        <v>115</v>
      </c>
      <c r="Q35" s="139" t="s">
        <v>400</v>
      </c>
      <c r="R35" s="142" t="s">
        <v>2294</v>
      </c>
      <c r="S35" s="143">
        <v>5042</v>
      </c>
      <c r="T35" s="143" t="s">
        <v>963</v>
      </c>
      <c r="U35" s="117"/>
      <c r="V35" s="142" t="s">
        <v>936</v>
      </c>
      <c r="W35" s="143">
        <v>791</v>
      </c>
      <c r="X35" s="143" t="s">
        <v>772</v>
      </c>
      <c r="Y35" s="143" t="s">
        <v>773</v>
      </c>
      <c r="Z35" s="272" t="s">
        <v>715</v>
      </c>
      <c r="AA35" s="117"/>
      <c r="AB35" s="142" t="s">
        <v>974</v>
      </c>
      <c r="AE35" s="329">
        <f t="shared" si="30"/>
        <v>19.049999999999997</v>
      </c>
    </row>
    <row r="36" spans="1:34" x14ac:dyDescent="0.2">
      <c r="A36" s="368">
        <f t="shared" si="23"/>
        <v>0</v>
      </c>
      <c r="B36" s="368">
        <f t="shared" si="24"/>
        <v>0</v>
      </c>
      <c r="C36" s="368">
        <f t="shared" si="25"/>
        <v>0</v>
      </c>
      <c r="D36" s="144">
        <f t="shared" si="26"/>
        <v>0</v>
      </c>
      <c r="E36" s="117">
        <f t="shared" si="18"/>
        <v>1</v>
      </c>
      <c r="F36" s="593">
        <v>1</v>
      </c>
      <c r="G36" s="123">
        <f t="shared" si="27"/>
        <v>1</v>
      </c>
      <c r="H36" s="123">
        <f t="shared" si="28"/>
        <v>1</v>
      </c>
      <c r="I36" s="123">
        <f t="shared" si="21"/>
        <v>1</v>
      </c>
      <c r="J36" s="123">
        <f t="shared" si="29"/>
        <v>1</v>
      </c>
      <c r="K36" s="654">
        <f t="shared" si="5"/>
        <v>0</v>
      </c>
      <c r="L36" s="144">
        <f t="shared" si="16"/>
        <v>0</v>
      </c>
      <c r="M36" s="137">
        <v>0.375</v>
      </c>
      <c r="N36" s="138">
        <v>250</v>
      </c>
      <c r="O36" s="139">
        <v>83</v>
      </c>
      <c r="P36" s="139">
        <v>115</v>
      </c>
      <c r="Q36" s="139" t="s">
        <v>400</v>
      </c>
      <c r="R36" s="142" t="s">
        <v>2295</v>
      </c>
      <c r="S36" s="143">
        <v>5041</v>
      </c>
      <c r="T36" s="143" t="s">
        <v>963</v>
      </c>
      <c r="U36" s="117"/>
      <c r="V36" s="142" t="s">
        <v>936</v>
      </c>
      <c r="W36" s="143">
        <v>791</v>
      </c>
      <c r="X36" s="143" t="s">
        <v>772</v>
      </c>
      <c r="Y36" s="143" t="s">
        <v>773</v>
      </c>
      <c r="Z36" s="272" t="s">
        <v>715</v>
      </c>
      <c r="AA36" s="117"/>
      <c r="AB36" s="142" t="s">
        <v>974</v>
      </c>
      <c r="AE36" s="329">
        <f t="shared" si="30"/>
        <v>19.049999999999997</v>
      </c>
    </row>
    <row r="37" spans="1:34" x14ac:dyDescent="0.2">
      <c r="A37" s="368">
        <f t="shared" si="23"/>
        <v>0</v>
      </c>
      <c r="B37" s="368">
        <f t="shared" si="24"/>
        <v>0</v>
      </c>
      <c r="C37" s="368">
        <f t="shared" si="25"/>
        <v>0</v>
      </c>
      <c r="D37" s="144">
        <f t="shared" si="26"/>
        <v>0</v>
      </c>
      <c r="E37" s="117">
        <f t="shared" si="18"/>
        <v>1</v>
      </c>
      <c r="F37" s="593">
        <v>1</v>
      </c>
      <c r="G37" s="123">
        <f t="shared" si="27"/>
        <v>1</v>
      </c>
      <c r="H37" s="123">
        <f t="shared" si="28"/>
        <v>1</v>
      </c>
      <c r="I37" s="123">
        <f t="shared" si="21"/>
        <v>1</v>
      </c>
      <c r="J37" s="123">
        <f t="shared" si="29"/>
        <v>1</v>
      </c>
      <c r="K37" s="654">
        <f t="shared" si="5"/>
        <v>0</v>
      </c>
      <c r="L37" s="144">
        <f t="shared" si="16"/>
        <v>0</v>
      </c>
      <c r="M37" s="137">
        <v>0.375</v>
      </c>
      <c r="N37" s="138">
        <v>500</v>
      </c>
      <c r="O37" s="139">
        <v>43</v>
      </c>
      <c r="P37" s="139">
        <v>115</v>
      </c>
      <c r="Q37" s="139" t="s">
        <v>400</v>
      </c>
      <c r="R37" s="142" t="s">
        <v>2296</v>
      </c>
      <c r="S37" s="143">
        <v>5040</v>
      </c>
      <c r="T37" s="143" t="s">
        <v>963</v>
      </c>
      <c r="U37" s="117"/>
      <c r="V37" s="142" t="s">
        <v>936</v>
      </c>
      <c r="W37" s="143">
        <v>791</v>
      </c>
      <c r="X37" s="143" t="s">
        <v>772</v>
      </c>
      <c r="Y37" s="143" t="s">
        <v>773</v>
      </c>
      <c r="Z37" s="272" t="s">
        <v>715</v>
      </c>
      <c r="AA37" s="117"/>
      <c r="AB37" s="142" t="s">
        <v>974</v>
      </c>
      <c r="AE37" s="329">
        <f t="shared" si="30"/>
        <v>19.049999999999997</v>
      </c>
    </row>
    <row r="38" spans="1:34" x14ac:dyDescent="0.2">
      <c r="A38" s="368">
        <f t="shared" ref="A38:A63" si="31">IF(AND(N38&gt;=_min1,N38&lt;=_max1),1,0)</f>
        <v>0</v>
      </c>
      <c r="B38" s="368">
        <f t="shared" ref="B38:B63" si="32">IF(AND(A38=0,N38&gt;=_min2,N38&lt;=_max2),1,IF(A38=1,1,0))</f>
        <v>0</v>
      </c>
      <c r="C38" s="368">
        <f t="shared" ref="C38:C63" si="33">IF(AND(B38=0,N38&gt;=_min3,N38&lt;=_max3),1,IF(B38=1,1,0))</f>
        <v>1</v>
      </c>
      <c r="D38" s="144">
        <f t="shared" ref="D38:D63" si="34">IF(A38=1,1,IF(B38=1,2,IF(C38=1,3,0)))</f>
        <v>3</v>
      </c>
      <c r="E38" s="117">
        <f t="shared" si="18"/>
        <v>1</v>
      </c>
      <c r="F38" s="593">
        <v>1</v>
      </c>
      <c r="G38" s="123">
        <f t="shared" ref="G38:G63" si="35">IF(M38&gt;=P12q2,1,0)</f>
        <v>1</v>
      </c>
      <c r="H38" s="123">
        <f t="shared" ref="H38:H63" si="36">IF((N38/P12q1)*O38&gt;=p12q3,1,0)</f>
        <v>1</v>
      </c>
      <c r="I38" s="123">
        <f t="shared" ref="I38:I44" si="37">IF(P0Q12=T38,1,0)</f>
        <v>0</v>
      </c>
      <c r="J38" s="123">
        <f t="shared" ref="J38:J63" si="38">IF(P0Q5=Q38,1,0)</f>
        <v>1</v>
      </c>
      <c r="L38" s="652">
        <f t="shared" ref="L38:L53" si="39">MIN(E38:J38)*D38</f>
        <v>0</v>
      </c>
      <c r="M38" s="137">
        <v>0.125</v>
      </c>
      <c r="N38" s="138">
        <v>42</v>
      </c>
      <c r="O38" s="138">
        <v>174</v>
      </c>
      <c r="P38" s="139">
        <v>115</v>
      </c>
      <c r="Q38" s="139" t="s">
        <v>400</v>
      </c>
      <c r="R38" s="142" t="s">
        <v>1371</v>
      </c>
      <c r="S38" s="143" t="s">
        <v>1992</v>
      </c>
      <c r="T38" s="143" t="s">
        <v>1991</v>
      </c>
      <c r="V38" s="142" t="s">
        <v>1397</v>
      </c>
      <c r="W38" s="612" t="s">
        <v>1993</v>
      </c>
      <c r="X38" s="143" t="s">
        <v>772</v>
      </c>
      <c r="Y38" s="143" t="s">
        <v>1994</v>
      </c>
      <c r="Z38" s="613" t="s">
        <v>715</v>
      </c>
      <c r="AB38" s="142" t="s">
        <v>970</v>
      </c>
      <c r="AE38" s="329">
        <f t="shared" ref="AE38:AE44" si="40">0.625*25.4</f>
        <v>15.875</v>
      </c>
      <c r="AF38" s="142" t="s">
        <v>1412</v>
      </c>
      <c r="AG38" s="614" t="s">
        <v>1403</v>
      </c>
      <c r="AH38" s="338">
        <v>1</v>
      </c>
    </row>
    <row r="39" spans="1:34" x14ac:dyDescent="0.2">
      <c r="A39" s="368">
        <f t="shared" si="31"/>
        <v>0</v>
      </c>
      <c r="B39" s="368">
        <f t="shared" si="32"/>
        <v>1</v>
      </c>
      <c r="C39" s="368">
        <f t="shared" si="33"/>
        <v>1</v>
      </c>
      <c r="D39" s="144">
        <f t="shared" si="34"/>
        <v>2</v>
      </c>
      <c r="E39" s="117">
        <f t="shared" si="18"/>
        <v>1</v>
      </c>
      <c r="F39" s="593">
        <v>1</v>
      </c>
      <c r="G39" s="123">
        <f t="shared" si="35"/>
        <v>1</v>
      </c>
      <c r="H39" s="123">
        <f t="shared" si="36"/>
        <v>1</v>
      </c>
      <c r="I39" s="123">
        <f t="shared" si="37"/>
        <v>0</v>
      </c>
      <c r="J39" s="123">
        <f t="shared" si="38"/>
        <v>1</v>
      </c>
      <c r="L39" s="652">
        <f t="shared" si="39"/>
        <v>0</v>
      </c>
      <c r="M39" s="137">
        <v>0.125</v>
      </c>
      <c r="N39" s="138">
        <v>63</v>
      </c>
      <c r="O39" s="138">
        <v>116</v>
      </c>
      <c r="P39" s="139">
        <v>115</v>
      </c>
      <c r="Q39" s="139" t="s">
        <v>400</v>
      </c>
      <c r="R39" s="142" t="s">
        <v>1372</v>
      </c>
      <c r="S39" s="143" t="s">
        <v>1995</v>
      </c>
      <c r="T39" s="143" t="s">
        <v>1991</v>
      </c>
      <c r="V39" s="142" t="s">
        <v>1397</v>
      </c>
      <c r="W39" s="612" t="s">
        <v>1993</v>
      </c>
      <c r="X39" s="143" t="s">
        <v>772</v>
      </c>
      <c r="Y39" s="143" t="s">
        <v>1994</v>
      </c>
      <c r="Z39" s="613" t="s">
        <v>715</v>
      </c>
      <c r="AB39" s="142" t="s">
        <v>970</v>
      </c>
      <c r="AE39" s="329">
        <f t="shared" si="40"/>
        <v>15.875</v>
      </c>
      <c r="AF39" s="142" t="s">
        <v>1412</v>
      </c>
      <c r="AG39" s="614" t="s">
        <v>1403</v>
      </c>
      <c r="AH39" s="338">
        <v>1</v>
      </c>
    </row>
    <row r="40" spans="1:34" x14ac:dyDescent="0.2">
      <c r="A40" s="368">
        <f t="shared" si="31"/>
        <v>1</v>
      </c>
      <c r="B40" s="368">
        <f t="shared" si="32"/>
        <v>1</v>
      </c>
      <c r="C40" s="368">
        <f t="shared" si="33"/>
        <v>1</v>
      </c>
      <c r="D40" s="144">
        <f t="shared" si="34"/>
        <v>1</v>
      </c>
      <c r="E40" s="117">
        <f t="shared" si="18"/>
        <v>1</v>
      </c>
      <c r="F40" s="593">
        <v>1</v>
      </c>
      <c r="G40" s="123">
        <f t="shared" si="35"/>
        <v>1</v>
      </c>
      <c r="H40" s="123">
        <f t="shared" si="36"/>
        <v>1</v>
      </c>
      <c r="I40" s="123">
        <f t="shared" si="37"/>
        <v>0</v>
      </c>
      <c r="J40" s="123">
        <f t="shared" si="38"/>
        <v>1</v>
      </c>
      <c r="L40" s="652">
        <f t="shared" si="39"/>
        <v>0</v>
      </c>
      <c r="M40" s="137">
        <v>0.125</v>
      </c>
      <c r="N40" s="138">
        <v>83</v>
      </c>
      <c r="O40" s="138">
        <v>87</v>
      </c>
      <c r="P40" s="139">
        <v>115</v>
      </c>
      <c r="Q40" s="139" t="s">
        <v>400</v>
      </c>
      <c r="R40" s="142" t="s">
        <v>1373</v>
      </c>
      <c r="S40" s="143" t="s">
        <v>1996</v>
      </c>
      <c r="T40" s="143" t="s">
        <v>1991</v>
      </c>
      <c r="V40" s="142" t="s">
        <v>1397</v>
      </c>
      <c r="W40" s="612" t="s">
        <v>1993</v>
      </c>
      <c r="X40" s="143" t="s">
        <v>772</v>
      </c>
      <c r="Y40" s="143" t="s">
        <v>1994</v>
      </c>
      <c r="Z40" s="613" t="s">
        <v>715</v>
      </c>
      <c r="AB40" s="142" t="s">
        <v>970</v>
      </c>
      <c r="AE40" s="329">
        <f t="shared" si="40"/>
        <v>15.875</v>
      </c>
      <c r="AF40" s="142" t="s">
        <v>1412</v>
      </c>
      <c r="AG40" s="614" t="s">
        <v>1403</v>
      </c>
      <c r="AH40" s="338">
        <v>1</v>
      </c>
    </row>
    <row r="41" spans="1:34" x14ac:dyDescent="0.2">
      <c r="A41" s="368">
        <f t="shared" si="31"/>
        <v>0</v>
      </c>
      <c r="B41" s="368">
        <f t="shared" si="32"/>
        <v>1</v>
      </c>
      <c r="C41" s="368">
        <f t="shared" si="33"/>
        <v>1</v>
      </c>
      <c r="D41" s="144">
        <f t="shared" si="34"/>
        <v>2</v>
      </c>
      <c r="E41" s="117">
        <f t="shared" si="18"/>
        <v>1</v>
      </c>
      <c r="F41" s="593">
        <v>1</v>
      </c>
      <c r="G41" s="123">
        <f t="shared" si="35"/>
        <v>1</v>
      </c>
      <c r="H41" s="123">
        <f t="shared" si="36"/>
        <v>1</v>
      </c>
      <c r="I41" s="123">
        <f t="shared" si="37"/>
        <v>0</v>
      </c>
      <c r="J41" s="123">
        <f t="shared" si="38"/>
        <v>1</v>
      </c>
      <c r="L41" s="652">
        <f t="shared" si="39"/>
        <v>0</v>
      </c>
      <c r="M41" s="137">
        <v>0.125</v>
      </c>
      <c r="N41" s="138">
        <v>125</v>
      </c>
      <c r="O41" s="138">
        <v>58</v>
      </c>
      <c r="P41" s="139">
        <v>115</v>
      </c>
      <c r="Q41" s="139" t="s">
        <v>400</v>
      </c>
      <c r="R41" s="142" t="s">
        <v>1374</v>
      </c>
      <c r="S41" s="143" t="s">
        <v>1997</v>
      </c>
      <c r="T41" s="143" t="s">
        <v>1991</v>
      </c>
      <c r="V41" s="142" t="s">
        <v>1397</v>
      </c>
      <c r="W41" s="612" t="s">
        <v>1993</v>
      </c>
      <c r="X41" s="143" t="s">
        <v>772</v>
      </c>
      <c r="Y41" s="143" t="s">
        <v>1994</v>
      </c>
      <c r="Z41" s="613" t="s">
        <v>715</v>
      </c>
      <c r="AB41" s="142" t="s">
        <v>970</v>
      </c>
      <c r="AE41" s="329">
        <f t="shared" si="40"/>
        <v>15.875</v>
      </c>
      <c r="AF41" s="142" t="s">
        <v>1412</v>
      </c>
      <c r="AG41" s="614" t="s">
        <v>1403</v>
      </c>
      <c r="AH41" s="122">
        <v>2</v>
      </c>
    </row>
    <row r="42" spans="1:34" x14ac:dyDescent="0.2">
      <c r="A42" s="368">
        <f t="shared" si="31"/>
        <v>0</v>
      </c>
      <c r="B42" s="368">
        <f t="shared" si="32"/>
        <v>0</v>
      </c>
      <c r="C42" s="368">
        <f t="shared" si="33"/>
        <v>0</v>
      </c>
      <c r="D42" s="144">
        <f t="shared" si="34"/>
        <v>0</v>
      </c>
      <c r="E42" s="117">
        <f t="shared" si="18"/>
        <v>1</v>
      </c>
      <c r="F42" s="593">
        <v>1</v>
      </c>
      <c r="G42" s="123">
        <f t="shared" si="35"/>
        <v>1</v>
      </c>
      <c r="H42" s="123">
        <f t="shared" si="36"/>
        <v>1</v>
      </c>
      <c r="I42" s="123">
        <f t="shared" si="37"/>
        <v>0</v>
      </c>
      <c r="J42" s="123">
        <f t="shared" si="38"/>
        <v>1</v>
      </c>
      <c r="L42" s="652">
        <f t="shared" si="39"/>
        <v>0</v>
      </c>
      <c r="M42" s="137">
        <v>0.125</v>
      </c>
      <c r="N42" s="138">
        <v>167</v>
      </c>
      <c r="O42" s="138">
        <v>44.4</v>
      </c>
      <c r="P42" s="139">
        <v>115</v>
      </c>
      <c r="Q42" s="139" t="s">
        <v>400</v>
      </c>
      <c r="R42" s="142" t="s">
        <v>1375</v>
      </c>
      <c r="S42" s="143" t="s">
        <v>1998</v>
      </c>
      <c r="T42" s="143" t="s">
        <v>1991</v>
      </c>
      <c r="V42" s="142" t="s">
        <v>1397</v>
      </c>
      <c r="W42" s="612" t="s">
        <v>1993</v>
      </c>
      <c r="X42" s="143" t="s">
        <v>772</v>
      </c>
      <c r="Y42" s="143" t="s">
        <v>1994</v>
      </c>
      <c r="Z42" s="613" t="s">
        <v>715</v>
      </c>
      <c r="AB42" s="142" t="s">
        <v>970</v>
      </c>
      <c r="AE42" s="329">
        <f t="shared" si="40"/>
        <v>15.875</v>
      </c>
      <c r="AF42" s="142" t="s">
        <v>1412</v>
      </c>
      <c r="AG42" s="614" t="s">
        <v>1403</v>
      </c>
      <c r="AH42" s="338">
        <v>1</v>
      </c>
    </row>
    <row r="43" spans="1:34" x14ac:dyDescent="0.2">
      <c r="A43" s="368">
        <f t="shared" si="31"/>
        <v>0</v>
      </c>
      <c r="B43" s="368">
        <f t="shared" si="32"/>
        <v>0</v>
      </c>
      <c r="C43" s="368">
        <f t="shared" si="33"/>
        <v>0</v>
      </c>
      <c r="D43" s="144">
        <f t="shared" si="34"/>
        <v>0</v>
      </c>
      <c r="E43" s="117">
        <f t="shared" si="18"/>
        <v>1</v>
      </c>
      <c r="F43" s="593">
        <v>1</v>
      </c>
      <c r="G43" s="123">
        <f t="shared" si="35"/>
        <v>1</v>
      </c>
      <c r="H43" s="123">
        <f t="shared" si="36"/>
        <v>1</v>
      </c>
      <c r="I43" s="123">
        <f t="shared" si="37"/>
        <v>0</v>
      </c>
      <c r="J43" s="123">
        <f t="shared" si="38"/>
        <v>1</v>
      </c>
      <c r="L43" s="652">
        <f t="shared" si="39"/>
        <v>0</v>
      </c>
      <c r="M43" s="137">
        <v>0.125</v>
      </c>
      <c r="N43" s="138">
        <v>250</v>
      </c>
      <c r="O43" s="138">
        <v>30</v>
      </c>
      <c r="P43" s="139">
        <v>115</v>
      </c>
      <c r="Q43" s="139" t="s">
        <v>400</v>
      </c>
      <c r="R43" s="142" t="s">
        <v>1376</v>
      </c>
      <c r="S43" s="143" t="s">
        <v>1999</v>
      </c>
      <c r="T43" s="143" t="s">
        <v>1991</v>
      </c>
      <c r="V43" s="142" t="s">
        <v>1397</v>
      </c>
      <c r="W43" s="612" t="s">
        <v>1993</v>
      </c>
      <c r="X43" s="143" t="s">
        <v>772</v>
      </c>
      <c r="Y43" s="143" t="s">
        <v>1994</v>
      </c>
      <c r="Z43" s="613" t="s">
        <v>715</v>
      </c>
      <c r="AB43" s="142" t="s">
        <v>970</v>
      </c>
      <c r="AE43" s="329">
        <f t="shared" si="40"/>
        <v>15.875</v>
      </c>
      <c r="AF43" s="142" t="s">
        <v>1412</v>
      </c>
      <c r="AG43" s="614" t="s">
        <v>1403</v>
      </c>
      <c r="AH43" s="338">
        <v>1</v>
      </c>
    </row>
    <row r="44" spans="1:34" x14ac:dyDescent="0.2">
      <c r="A44" s="368">
        <f t="shared" si="31"/>
        <v>0</v>
      </c>
      <c r="B44" s="368">
        <f t="shared" si="32"/>
        <v>0</v>
      </c>
      <c r="C44" s="368">
        <f t="shared" si="33"/>
        <v>0</v>
      </c>
      <c r="D44" s="144">
        <f t="shared" si="34"/>
        <v>0</v>
      </c>
      <c r="E44" s="117">
        <f t="shared" si="18"/>
        <v>1</v>
      </c>
      <c r="F44" s="593">
        <v>1</v>
      </c>
      <c r="G44" s="123">
        <f t="shared" si="35"/>
        <v>1</v>
      </c>
      <c r="H44" s="123">
        <f t="shared" si="36"/>
        <v>1</v>
      </c>
      <c r="I44" s="123">
        <f t="shared" si="37"/>
        <v>0</v>
      </c>
      <c r="J44" s="123">
        <f t="shared" si="38"/>
        <v>1</v>
      </c>
      <c r="L44" s="652">
        <f t="shared" si="39"/>
        <v>0</v>
      </c>
      <c r="M44" s="137">
        <v>0.125</v>
      </c>
      <c r="N44" s="138">
        <v>500</v>
      </c>
      <c r="O44" s="138">
        <v>14.8</v>
      </c>
      <c r="P44" s="139">
        <v>115</v>
      </c>
      <c r="Q44" s="139" t="s">
        <v>400</v>
      </c>
      <c r="R44" s="142" t="s">
        <v>1377</v>
      </c>
      <c r="S44" s="143" t="s">
        <v>2000</v>
      </c>
      <c r="T44" s="143" t="s">
        <v>1991</v>
      </c>
      <c r="V44" s="142" t="s">
        <v>1397</v>
      </c>
      <c r="W44" s="612" t="s">
        <v>1993</v>
      </c>
      <c r="X44" s="143" t="s">
        <v>772</v>
      </c>
      <c r="Y44" s="143" t="s">
        <v>1994</v>
      </c>
      <c r="Z44" s="613" t="s">
        <v>715</v>
      </c>
      <c r="AB44" s="142" t="s">
        <v>970</v>
      </c>
      <c r="AE44" s="329">
        <f t="shared" si="40"/>
        <v>15.875</v>
      </c>
      <c r="AF44" s="142" t="s">
        <v>1412</v>
      </c>
      <c r="AG44" s="614" t="s">
        <v>1403</v>
      </c>
      <c r="AH44" s="338">
        <v>1</v>
      </c>
    </row>
    <row r="45" spans="1:34" x14ac:dyDescent="0.2">
      <c r="A45" s="368">
        <f t="shared" si="31"/>
        <v>0</v>
      </c>
      <c r="B45" s="368">
        <f t="shared" si="32"/>
        <v>0</v>
      </c>
      <c r="C45" s="368">
        <f t="shared" si="33"/>
        <v>0</v>
      </c>
      <c r="D45" s="144">
        <f t="shared" si="34"/>
        <v>0</v>
      </c>
      <c r="E45" s="117">
        <f t="shared" ref="E45:E63" si="41">IF(quote16=2,1,)</f>
        <v>1</v>
      </c>
      <c r="F45" s="593">
        <v>1</v>
      </c>
      <c r="G45" s="123">
        <f t="shared" si="35"/>
        <v>1</v>
      </c>
      <c r="H45" s="123">
        <f t="shared" si="36"/>
        <v>0</v>
      </c>
      <c r="I45" s="123">
        <f t="shared" ref="I45:I63" si="42">IF(P0Q12=T45,1,0)</f>
        <v>0</v>
      </c>
      <c r="J45" s="123">
        <f t="shared" si="38"/>
        <v>1</v>
      </c>
      <c r="L45" s="652">
        <f t="shared" si="39"/>
        <v>0</v>
      </c>
      <c r="M45" s="137">
        <v>0.125</v>
      </c>
      <c r="N45" s="138">
        <v>8.3000000000000007</v>
      </c>
      <c r="O45" s="138">
        <v>330</v>
      </c>
      <c r="P45" s="139">
        <v>115</v>
      </c>
      <c r="Q45" s="139" t="s">
        <v>400</v>
      </c>
      <c r="R45" s="142" t="s">
        <v>1378</v>
      </c>
      <c r="S45" s="143" t="s">
        <v>2001</v>
      </c>
      <c r="T45" s="143" t="s">
        <v>1991</v>
      </c>
      <c r="V45" s="142" t="s">
        <v>1397</v>
      </c>
      <c r="W45" s="612" t="s">
        <v>1993</v>
      </c>
      <c r="X45" s="143" t="s">
        <v>772</v>
      </c>
      <c r="Y45" s="143" t="s">
        <v>1994</v>
      </c>
      <c r="Z45" s="613" t="s">
        <v>715</v>
      </c>
      <c r="AB45" s="142" t="s">
        <v>974</v>
      </c>
      <c r="AE45" s="329">
        <f t="shared" ref="AE45:AE63" si="43">0.75*25.4</f>
        <v>19.049999999999997</v>
      </c>
      <c r="AF45" s="142" t="s">
        <v>1412</v>
      </c>
      <c r="AG45" s="615" t="s">
        <v>1402</v>
      </c>
      <c r="AH45" s="338">
        <v>1</v>
      </c>
    </row>
    <row r="46" spans="1:34" x14ac:dyDescent="0.2">
      <c r="A46" s="368">
        <f t="shared" si="31"/>
        <v>0</v>
      </c>
      <c r="B46" s="368">
        <f t="shared" si="32"/>
        <v>0</v>
      </c>
      <c r="C46" s="368">
        <f t="shared" si="33"/>
        <v>0</v>
      </c>
      <c r="D46" s="144">
        <f t="shared" si="34"/>
        <v>0</v>
      </c>
      <c r="E46" s="117">
        <f t="shared" si="41"/>
        <v>1</v>
      </c>
      <c r="F46" s="593">
        <v>1</v>
      </c>
      <c r="G46" s="123">
        <f t="shared" si="35"/>
        <v>1</v>
      </c>
      <c r="H46" s="123">
        <f t="shared" si="36"/>
        <v>0</v>
      </c>
      <c r="I46" s="123">
        <f t="shared" si="42"/>
        <v>0</v>
      </c>
      <c r="J46" s="123">
        <f t="shared" si="38"/>
        <v>1</v>
      </c>
      <c r="L46" s="652">
        <f t="shared" si="39"/>
        <v>0</v>
      </c>
      <c r="M46" s="137">
        <v>0.125</v>
      </c>
      <c r="N46" s="138">
        <v>10.4</v>
      </c>
      <c r="O46" s="138">
        <v>330</v>
      </c>
      <c r="P46" s="139">
        <v>115</v>
      </c>
      <c r="Q46" s="139" t="s">
        <v>400</v>
      </c>
      <c r="R46" s="142" t="s">
        <v>1379</v>
      </c>
      <c r="S46" s="143" t="s">
        <v>2002</v>
      </c>
      <c r="T46" s="143" t="s">
        <v>1991</v>
      </c>
      <c r="V46" s="142" t="s">
        <v>1397</v>
      </c>
      <c r="W46" s="612" t="s">
        <v>1993</v>
      </c>
      <c r="X46" s="143" t="s">
        <v>772</v>
      </c>
      <c r="Y46" s="143" t="s">
        <v>1994</v>
      </c>
      <c r="Z46" s="613" t="s">
        <v>715</v>
      </c>
      <c r="AB46" s="142" t="s">
        <v>974</v>
      </c>
      <c r="AE46" s="329">
        <f t="shared" si="43"/>
        <v>19.049999999999997</v>
      </c>
      <c r="AF46" s="142" t="s">
        <v>1412</v>
      </c>
      <c r="AG46" s="615" t="s">
        <v>1402</v>
      </c>
      <c r="AH46" s="122">
        <v>2</v>
      </c>
    </row>
    <row r="47" spans="1:34" x14ac:dyDescent="0.2">
      <c r="A47" s="368">
        <f t="shared" si="31"/>
        <v>0</v>
      </c>
      <c r="B47" s="368">
        <f t="shared" si="32"/>
        <v>0</v>
      </c>
      <c r="C47" s="368">
        <f t="shared" si="33"/>
        <v>1</v>
      </c>
      <c r="D47" s="144">
        <f t="shared" si="34"/>
        <v>3</v>
      </c>
      <c r="E47" s="117">
        <f t="shared" si="41"/>
        <v>1</v>
      </c>
      <c r="F47" s="593">
        <v>1</v>
      </c>
      <c r="G47" s="123">
        <f t="shared" si="35"/>
        <v>1</v>
      </c>
      <c r="H47" s="123">
        <f t="shared" si="36"/>
        <v>0</v>
      </c>
      <c r="I47" s="123">
        <f t="shared" si="42"/>
        <v>0</v>
      </c>
      <c r="J47" s="123">
        <f t="shared" si="38"/>
        <v>1</v>
      </c>
      <c r="L47" s="652">
        <f t="shared" si="39"/>
        <v>0</v>
      </c>
      <c r="M47" s="137">
        <v>0.25</v>
      </c>
      <c r="N47" s="138">
        <v>14</v>
      </c>
      <c r="O47" s="138">
        <v>340</v>
      </c>
      <c r="P47" s="139">
        <v>115</v>
      </c>
      <c r="Q47" s="139" t="s">
        <v>400</v>
      </c>
      <c r="R47" s="142" t="s">
        <v>1380</v>
      </c>
      <c r="S47" s="143" t="s">
        <v>2003</v>
      </c>
      <c r="T47" s="143" t="s">
        <v>1991</v>
      </c>
      <c r="V47" s="142" t="s">
        <v>1397</v>
      </c>
      <c r="W47" s="612" t="s">
        <v>1993</v>
      </c>
      <c r="X47" s="143" t="s">
        <v>772</v>
      </c>
      <c r="Y47" s="143" t="s">
        <v>1994</v>
      </c>
      <c r="Z47" s="613" t="s">
        <v>715</v>
      </c>
      <c r="AB47" s="142" t="s">
        <v>974</v>
      </c>
      <c r="AE47" s="329">
        <f t="shared" si="43"/>
        <v>19.049999999999997</v>
      </c>
      <c r="AF47" s="142" t="s">
        <v>1413</v>
      </c>
      <c r="AG47" s="616" t="s">
        <v>1403</v>
      </c>
      <c r="AH47" s="338">
        <v>1</v>
      </c>
    </row>
    <row r="48" spans="1:34" x14ac:dyDescent="0.2">
      <c r="A48" s="368">
        <f t="shared" si="31"/>
        <v>0</v>
      </c>
      <c r="B48" s="368">
        <f t="shared" si="32"/>
        <v>0</v>
      </c>
      <c r="C48" s="368">
        <f t="shared" si="33"/>
        <v>1</v>
      </c>
      <c r="D48" s="144">
        <f t="shared" si="34"/>
        <v>3</v>
      </c>
      <c r="E48" s="117">
        <f t="shared" si="41"/>
        <v>1</v>
      </c>
      <c r="F48" s="593">
        <v>1</v>
      </c>
      <c r="G48" s="123">
        <f t="shared" si="35"/>
        <v>1</v>
      </c>
      <c r="H48" s="123">
        <f t="shared" si="36"/>
        <v>0</v>
      </c>
      <c r="I48" s="123">
        <f t="shared" si="42"/>
        <v>0</v>
      </c>
      <c r="J48" s="123">
        <f t="shared" si="38"/>
        <v>1</v>
      </c>
      <c r="L48" s="652">
        <f t="shared" si="39"/>
        <v>0</v>
      </c>
      <c r="M48" s="137">
        <v>0.25</v>
      </c>
      <c r="N48" s="138">
        <v>21</v>
      </c>
      <c r="O48" s="138">
        <v>315</v>
      </c>
      <c r="P48" s="139">
        <v>115</v>
      </c>
      <c r="Q48" s="139" t="s">
        <v>400</v>
      </c>
      <c r="R48" s="142" t="s">
        <v>1381</v>
      </c>
      <c r="S48" s="143" t="s">
        <v>2004</v>
      </c>
      <c r="T48" s="143" t="s">
        <v>1991</v>
      </c>
      <c r="V48" s="142" t="s">
        <v>1397</v>
      </c>
      <c r="W48" s="612" t="s">
        <v>1993</v>
      </c>
      <c r="X48" s="143" t="s">
        <v>772</v>
      </c>
      <c r="Y48" s="143" t="s">
        <v>1994</v>
      </c>
      <c r="Z48" s="613" t="s">
        <v>715</v>
      </c>
      <c r="AB48" s="142" t="s">
        <v>974</v>
      </c>
      <c r="AE48" s="329">
        <f t="shared" si="43"/>
        <v>19.049999999999997</v>
      </c>
      <c r="AF48" s="142" t="s">
        <v>1413</v>
      </c>
      <c r="AG48" s="616" t="s">
        <v>1404</v>
      </c>
      <c r="AH48" s="338">
        <v>1</v>
      </c>
    </row>
    <row r="49" spans="1:34" x14ac:dyDescent="0.2">
      <c r="A49" s="368">
        <f t="shared" si="31"/>
        <v>0</v>
      </c>
      <c r="B49" s="368">
        <f t="shared" si="32"/>
        <v>0</v>
      </c>
      <c r="C49" s="368">
        <f t="shared" si="33"/>
        <v>1</v>
      </c>
      <c r="D49" s="144">
        <f t="shared" si="34"/>
        <v>3</v>
      </c>
      <c r="E49" s="117">
        <f t="shared" si="41"/>
        <v>1</v>
      </c>
      <c r="F49" s="593">
        <v>1</v>
      </c>
      <c r="G49" s="123">
        <f t="shared" si="35"/>
        <v>1</v>
      </c>
      <c r="H49" s="123">
        <f t="shared" si="36"/>
        <v>1</v>
      </c>
      <c r="I49" s="123">
        <f t="shared" si="42"/>
        <v>0</v>
      </c>
      <c r="J49" s="123">
        <f t="shared" si="38"/>
        <v>1</v>
      </c>
      <c r="L49" s="652">
        <f t="shared" si="39"/>
        <v>0</v>
      </c>
      <c r="M49" s="137">
        <v>0.25</v>
      </c>
      <c r="N49" s="138">
        <v>27.7</v>
      </c>
      <c r="O49" s="138">
        <v>305</v>
      </c>
      <c r="P49" s="139">
        <v>115</v>
      </c>
      <c r="Q49" s="139" t="s">
        <v>400</v>
      </c>
      <c r="R49" s="142" t="s">
        <v>1382</v>
      </c>
      <c r="S49" s="143" t="s">
        <v>2005</v>
      </c>
      <c r="T49" s="143" t="s">
        <v>1991</v>
      </c>
      <c r="V49" s="142" t="s">
        <v>1397</v>
      </c>
      <c r="W49" s="612" t="s">
        <v>1993</v>
      </c>
      <c r="X49" s="143" t="s">
        <v>772</v>
      </c>
      <c r="Y49" s="143" t="s">
        <v>1994</v>
      </c>
      <c r="Z49" s="613" t="s">
        <v>715</v>
      </c>
      <c r="AB49" s="142" t="s">
        <v>974</v>
      </c>
      <c r="AE49" s="329">
        <f t="shared" si="43"/>
        <v>19.049999999999997</v>
      </c>
      <c r="AF49" s="142" t="s">
        <v>1413</v>
      </c>
      <c r="AG49" s="616" t="s">
        <v>1405</v>
      </c>
      <c r="AH49" s="122">
        <v>2</v>
      </c>
    </row>
    <row r="50" spans="1:34" x14ac:dyDescent="0.2">
      <c r="A50" s="368">
        <f t="shared" si="31"/>
        <v>0</v>
      </c>
      <c r="B50" s="368">
        <f t="shared" si="32"/>
        <v>0</v>
      </c>
      <c r="C50" s="368">
        <f t="shared" si="33"/>
        <v>1</v>
      </c>
      <c r="D50" s="144">
        <f t="shared" si="34"/>
        <v>3</v>
      </c>
      <c r="E50" s="117">
        <f t="shared" si="41"/>
        <v>1</v>
      </c>
      <c r="F50" s="593">
        <v>1</v>
      </c>
      <c r="G50" s="123">
        <f t="shared" si="35"/>
        <v>1</v>
      </c>
      <c r="H50" s="123">
        <f t="shared" si="36"/>
        <v>1</v>
      </c>
      <c r="I50" s="123">
        <f t="shared" si="42"/>
        <v>0</v>
      </c>
      <c r="J50" s="123">
        <f t="shared" si="38"/>
        <v>1</v>
      </c>
      <c r="L50" s="652">
        <f t="shared" si="39"/>
        <v>0</v>
      </c>
      <c r="M50" s="137">
        <v>0.25</v>
      </c>
      <c r="N50" s="138">
        <v>42</v>
      </c>
      <c r="O50" s="138">
        <v>280</v>
      </c>
      <c r="P50" s="139">
        <v>115</v>
      </c>
      <c r="Q50" s="139" t="s">
        <v>400</v>
      </c>
      <c r="R50" s="142" t="s">
        <v>1383</v>
      </c>
      <c r="S50" s="143" t="s">
        <v>2006</v>
      </c>
      <c r="T50" s="143" t="s">
        <v>1991</v>
      </c>
      <c r="V50" s="142" t="s">
        <v>1397</v>
      </c>
      <c r="W50" s="612" t="s">
        <v>1993</v>
      </c>
      <c r="X50" s="143" t="s">
        <v>772</v>
      </c>
      <c r="Y50" s="143" t="s">
        <v>1994</v>
      </c>
      <c r="Z50" s="613" t="s">
        <v>715</v>
      </c>
      <c r="AB50" s="142" t="s">
        <v>974</v>
      </c>
      <c r="AE50" s="329">
        <f t="shared" si="43"/>
        <v>19.049999999999997</v>
      </c>
      <c r="AF50" s="142" t="s">
        <v>1413</v>
      </c>
      <c r="AG50" s="616" t="s">
        <v>1405</v>
      </c>
      <c r="AH50" s="338">
        <v>1</v>
      </c>
    </row>
    <row r="51" spans="1:34" x14ac:dyDescent="0.2">
      <c r="A51" s="368">
        <f t="shared" si="31"/>
        <v>0</v>
      </c>
      <c r="B51" s="368">
        <f t="shared" si="32"/>
        <v>0</v>
      </c>
      <c r="C51" s="368">
        <f t="shared" si="33"/>
        <v>1</v>
      </c>
      <c r="D51" s="144">
        <f t="shared" si="34"/>
        <v>3</v>
      </c>
      <c r="E51" s="117">
        <f t="shared" si="41"/>
        <v>1</v>
      </c>
      <c r="F51" s="593">
        <v>1</v>
      </c>
      <c r="G51" s="123">
        <f t="shared" si="35"/>
        <v>1</v>
      </c>
      <c r="H51" s="123">
        <f t="shared" si="36"/>
        <v>1</v>
      </c>
      <c r="I51" s="123">
        <f t="shared" si="42"/>
        <v>0</v>
      </c>
      <c r="J51" s="123">
        <f t="shared" si="38"/>
        <v>1</v>
      </c>
      <c r="L51" s="652">
        <f t="shared" si="39"/>
        <v>0</v>
      </c>
      <c r="M51" s="137">
        <v>0.25</v>
      </c>
      <c r="N51" s="138">
        <v>50</v>
      </c>
      <c r="O51" s="138">
        <v>250</v>
      </c>
      <c r="P51" s="139">
        <v>115</v>
      </c>
      <c r="Q51" s="139" t="s">
        <v>400</v>
      </c>
      <c r="R51" s="142" t="s">
        <v>1384</v>
      </c>
      <c r="S51" s="143" t="s">
        <v>2007</v>
      </c>
      <c r="T51" s="143" t="s">
        <v>1991</v>
      </c>
      <c r="V51" s="142" t="s">
        <v>1397</v>
      </c>
      <c r="W51" s="612" t="s">
        <v>1993</v>
      </c>
      <c r="X51" s="143" t="s">
        <v>772</v>
      </c>
      <c r="Y51" s="143" t="s">
        <v>1994</v>
      </c>
      <c r="Z51" s="613" t="s">
        <v>715</v>
      </c>
      <c r="AB51" s="142" t="s">
        <v>974</v>
      </c>
      <c r="AE51" s="329">
        <f t="shared" si="43"/>
        <v>19.049999999999997</v>
      </c>
      <c r="AF51" s="142" t="s">
        <v>1413</v>
      </c>
      <c r="AG51" s="616" t="s">
        <v>1405</v>
      </c>
      <c r="AH51" s="122">
        <v>2</v>
      </c>
    </row>
    <row r="52" spans="1:34" x14ac:dyDescent="0.2">
      <c r="A52" s="368">
        <f t="shared" si="31"/>
        <v>0</v>
      </c>
      <c r="B52" s="368">
        <f t="shared" si="32"/>
        <v>1</v>
      </c>
      <c r="C52" s="368">
        <f t="shared" si="33"/>
        <v>1</v>
      </c>
      <c r="D52" s="144">
        <f t="shared" si="34"/>
        <v>2</v>
      </c>
      <c r="E52" s="117">
        <f t="shared" si="41"/>
        <v>1</v>
      </c>
      <c r="F52" s="593">
        <v>1</v>
      </c>
      <c r="G52" s="123">
        <f t="shared" si="35"/>
        <v>1</v>
      </c>
      <c r="H52" s="123">
        <f t="shared" si="36"/>
        <v>1</v>
      </c>
      <c r="I52" s="123">
        <f t="shared" si="42"/>
        <v>0</v>
      </c>
      <c r="J52" s="123">
        <f t="shared" si="38"/>
        <v>1</v>
      </c>
      <c r="L52" s="652">
        <f t="shared" si="39"/>
        <v>0</v>
      </c>
      <c r="M52" s="137">
        <v>0.25</v>
      </c>
      <c r="N52" s="138">
        <v>62</v>
      </c>
      <c r="O52" s="138">
        <v>220</v>
      </c>
      <c r="P52" s="139">
        <v>115</v>
      </c>
      <c r="Q52" s="139" t="s">
        <v>400</v>
      </c>
      <c r="R52" s="142" t="s">
        <v>1385</v>
      </c>
      <c r="S52" s="143" t="s">
        <v>2008</v>
      </c>
      <c r="T52" s="143" t="s">
        <v>1991</v>
      </c>
      <c r="V52" s="142" t="s">
        <v>1397</v>
      </c>
      <c r="W52" s="612" t="s">
        <v>1993</v>
      </c>
      <c r="X52" s="143" t="s">
        <v>772</v>
      </c>
      <c r="Y52" s="143" t="s">
        <v>1994</v>
      </c>
      <c r="Z52" s="613" t="s">
        <v>715</v>
      </c>
      <c r="AB52" s="142" t="s">
        <v>974</v>
      </c>
      <c r="AE52" s="329">
        <f t="shared" si="43"/>
        <v>19.049999999999997</v>
      </c>
      <c r="AF52" s="142" t="s">
        <v>1413</v>
      </c>
      <c r="AG52" s="616" t="s">
        <v>1405</v>
      </c>
      <c r="AH52" s="338">
        <v>1</v>
      </c>
    </row>
    <row r="53" spans="1:34" x14ac:dyDescent="0.2">
      <c r="A53" s="368">
        <f t="shared" si="31"/>
        <v>1</v>
      </c>
      <c r="B53" s="368">
        <f t="shared" si="32"/>
        <v>1</v>
      </c>
      <c r="C53" s="368">
        <f t="shared" si="33"/>
        <v>1</v>
      </c>
      <c r="D53" s="144">
        <f t="shared" si="34"/>
        <v>1</v>
      </c>
      <c r="E53" s="117">
        <f t="shared" si="41"/>
        <v>1</v>
      </c>
      <c r="F53" s="593">
        <v>1</v>
      </c>
      <c r="G53" s="123">
        <f t="shared" si="35"/>
        <v>1</v>
      </c>
      <c r="H53" s="123">
        <f t="shared" si="36"/>
        <v>1</v>
      </c>
      <c r="I53" s="123">
        <f t="shared" si="42"/>
        <v>0</v>
      </c>
      <c r="J53" s="123">
        <f t="shared" si="38"/>
        <v>1</v>
      </c>
      <c r="L53" s="652">
        <f t="shared" si="39"/>
        <v>0</v>
      </c>
      <c r="M53" s="137">
        <v>0.25</v>
      </c>
      <c r="N53" s="138">
        <v>83</v>
      </c>
      <c r="O53" s="138">
        <v>155</v>
      </c>
      <c r="P53" s="139">
        <v>115</v>
      </c>
      <c r="Q53" s="139" t="s">
        <v>400</v>
      </c>
      <c r="R53" s="142" t="s">
        <v>1386</v>
      </c>
      <c r="S53" s="143" t="s">
        <v>2009</v>
      </c>
      <c r="T53" s="143" t="s">
        <v>1991</v>
      </c>
      <c r="V53" s="142" t="s">
        <v>1397</v>
      </c>
      <c r="W53" s="612" t="s">
        <v>1993</v>
      </c>
      <c r="X53" s="143" t="s">
        <v>772</v>
      </c>
      <c r="Y53" s="143" t="s">
        <v>1994</v>
      </c>
      <c r="Z53" s="613" t="s">
        <v>715</v>
      </c>
      <c r="AB53" s="142" t="s">
        <v>974</v>
      </c>
      <c r="AE53" s="329">
        <f t="shared" si="43"/>
        <v>19.049999999999997</v>
      </c>
      <c r="AF53" s="142" t="s">
        <v>1413</v>
      </c>
      <c r="AG53" s="616" t="s">
        <v>1405</v>
      </c>
      <c r="AH53" s="338">
        <v>1</v>
      </c>
    </row>
    <row r="54" spans="1:34" x14ac:dyDescent="0.2">
      <c r="A54" s="368">
        <f t="shared" si="31"/>
        <v>0</v>
      </c>
      <c r="B54" s="368">
        <f t="shared" si="32"/>
        <v>1</v>
      </c>
      <c r="C54" s="368">
        <f t="shared" si="33"/>
        <v>1</v>
      </c>
      <c r="D54" s="144">
        <f t="shared" si="34"/>
        <v>2</v>
      </c>
      <c r="E54" s="117">
        <f t="shared" si="41"/>
        <v>1</v>
      </c>
      <c r="F54" s="593">
        <v>1</v>
      </c>
      <c r="G54" s="123">
        <f t="shared" si="35"/>
        <v>1</v>
      </c>
      <c r="H54" s="123">
        <f t="shared" si="36"/>
        <v>1</v>
      </c>
      <c r="I54" s="123">
        <f t="shared" si="42"/>
        <v>0</v>
      </c>
      <c r="J54" s="123">
        <f t="shared" si="38"/>
        <v>1</v>
      </c>
      <c r="L54" s="652">
        <f t="shared" ref="L54:L63" si="44">MIN(E54:J54)*D54</f>
        <v>0</v>
      </c>
      <c r="M54" s="137">
        <v>0.25</v>
      </c>
      <c r="N54" s="138">
        <v>125</v>
      </c>
      <c r="O54" s="138">
        <v>100</v>
      </c>
      <c r="P54" s="139">
        <v>115</v>
      </c>
      <c r="Q54" s="139" t="s">
        <v>400</v>
      </c>
      <c r="R54" s="142" t="s">
        <v>1387</v>
      </c>
      <c r="S54" s="143" t="s">
        <v>2010</v>
      </c>
      <c r="T54" s="143" t="s">
        <v>1991</v>
      </c>
      <c r="V54" s="142" t="s">
        <v>1397</v>
      </c>
      <c r="W54" s="612" t="s">
        <v>1993</v>
      </c>
      <c r="X54" s="143" t="s">
        <v>772</v>
      </c>
      <c r="Y54" s="143" t="s">
        <v>1994</v>
      </c>
      <c r="Z54" s="613" t="s">
        <v>715</v>
      </c>
      <c r="AB54" s="142" t="s">
        <v>974</v>
      </c>
      <c r="AE54" s="329">
        <f t="shared" si="43"/>
        <v>19.049999999999997</v>
      </c>
      <c r="AF54" s="142" t="s">
        <v>1413</v>
      </c>
      <c r="AG54" s="616" t="s">
        <v>1405</v>
      </c>
      <c r="AH54" s="338">
        <v>1</v>
      </c>
    </row>
    <row r="55" spans="1:34" x14ac:dyDescent="0.2">
      <c r="A55" s="368">
        <f t="shared" si="31"/>
        <v>0</v>
      </c>
      <c r="B55" s="368">
        <f t="shared" si="32"/>
        <v>0</v>
      </c>
      <c r="C55" s="368">
        <f t="shared" si="33"/>
        <v>0</v>
      </c>
      <c r="D55" s="144">
        <f t="shared" si="34"/>
        <v>0</v>
      </c>
      <c r="E55" s="117">
        <f t="shared" si="41"/>
        <v>1</v>
      </c>
      <c r="F55" s="593">
        <v>1</v>
      </c>
      <c r="G55" s="123">
        <f t="shared" si="35"/>
        <v>1</v>
      </c>
      <c r="H55" s="123">
        <f t="shared" si="36"/>
        <v>1</v>
      </c>
      <c r="I55" s="123">
        <f t="shared" si="42"/>
        <v>0</v>
      </c>
      <c r="J55" s="123">
        <f t="shared" si="38"/>
        <v>1</v>
      </c>
      <c r="L55" s="652">
        <f t="shared" si="44"/>
        <v>0</v>
      </c>
      <c r="M55" s="137">
        <v>0.25</v>
      </c>
      <c r="N55" s="138">
        <v>165</v>
      </c>
      <c r="O55" s="138">
        <v>70</v>
      </c>
      <c r="P55" s="139">
        <v>115</v>
      </c>
      <c r="Q55" s="139" t="s">
        <v>400</v>
      </c>
      <c r="R55" s="142" t="s">
        <v>1388</v>
      </c>
      <c r="S55" s="143" t="s">
        <v>2011</v>
      </c>
      <c r="T55" s="143" t="s">
        <v>1991</v>
      </c>
      <c r="V55" s="142" t="s">
        <v>1397</v>
      </c>
      <c r="W55" s="612" t="s">
        <v>1993</v>
      </c>
      <c r="X55" s="143" t="s">
        <v>772</v>
      </c>
      <c r="Y55" s="143" t="s">
        <v>1994</v>
      </c>
      <c r="Z55" s="613" t="s">
        <v>715</v>
      </c>
      <c r="AB55" s="142" t="s">
        <v>974</v>
      </c>
      <c r="AE55" s="329">
        <f t="shared" si="43"/>
        <v>19.049999999999997</v>
      </c>
      <c r="AF55" s="142" t="s">
        <v>1413</v>
      </c>
      <c r="AG55" s="616" t="s">
        <v>1405</v>
      </c>
      <c r="AH55" s="338">
        <v>1</v>
      </c>
    </row>
    <row r="56" spans="1:34" x14ac:dyDescent="0.2">
      <c r="A56" s="368">
        <f t="shared" si="31"/>
        <v>0</v>
      </c>
      <c r="B56" s="368">
        <f t="shared" si="32"/>
        <v>0</v>
      </c>
      <c r="C56" s="368">
        <f t="shared" si="33"/>
        <v>0</v>
      </c>
      <c r="D56" s="144">
        <f t="shared" si="34"/>
        <v>0</v>
      </c>
      <c r="E56" s="117">
        <f t="shared" si="41"/>
        <v>1</v>
      </c>
      <c r="F56" s="593">
        <v>1</v>
      </c>
      <c r="G56" s="123">
        <f t="shared" si="35"/>
        <v>1</v>
      </c>
      <c r="H56" s="123">
        <f t="shared" si="36"/>
        <v>1</v>
      </c>
      <c r="I56" s="123">
        <f t="shared" si="42"/>
        <v>0</v>
      </c>
      <c r="J56" s="123">
        <f t="shared" si="38"/>
        <v>1</v>
      </c>
      <c r="L56" s="652">
        <f t="shared" si="44"/>
        <v>0</v>
      </c>
      <c r="M56" s="137">
        <v>0.25</v>
      </c>
      <c r="N56" s="138">
        <v>250</v>
      </c>
      <c r="O56" s="138">
        <v>50</v>
      </c>
      <c r="P56" s="139">
        <v>115</v>
      </c>
      <c r="Q56" s="139" t="s">
        <v>400</v>
      </c>
      <c r="R56" s="142" t="s">
        <v>1389</v>
      </c>
      <c r="S56" s="143" t="s">
        <v>2012</v>
      </c>
      <c r="T56" s="143" t="s">
        <v>1991</v>
      </c>
      <c r="V56" s="142" t="s">
        <v>1397</v>
      </c>
      <c r="W56" s="612" t="s">
        <v>1993</v>
      </c>
      <c r="X56" s="143" t="s">
        <v>772</v>
      </c>
      <c r="Y56" s="143" t="s">
        <v>1994</v>
      </c>
      <c r="Z56" s="613" t="s">
        <v>715</v>
      </c>
      <c r="AB56" s="142" t="s">
        <v>974</v>
      </c>
      <c r="AE56" s="329">
        <f t="shared" si="43"/>
        <v>19.049999999999997</v>
      </c>
      <c r="AF56" s="142" t="s">
        <v>1413</v>
      </c>
      <c r="AG56" s="616" t="s">
        <v>1405</v>
      </c>
      <c r="AH56" s="338">
        <v>1</v>
      </c>
    </row>
    <row r="57" spans="1:34" x14ac:dyDescent="0.2">
      <c r="A57" s="368">
        <f t="shared" si="31"/>
        <v>0</v>
      </c>
      <c r="B57" s="368">
        <f t="shared" si="32"/>
        <v>0</v>
      </c>
      <c r="C57" s="368">
        <f t="shared" si="33"/>
        <v>0</v>
      </c>
      <c r="D57" s="144">
        <f t="shared" si="34"/>
        <v>0</v>
      </c>
      <c r="E57" s="117">
        <f t="shared" si="41"/>
        <v>1</v>
      </c>
      <c r="F57" s="593">
        <v>1</v>
      </c>
      <c r="G57" s="123">
        <f t="shared" si="35"/>
        <v>1</v>
      </c>
      <c r="H57" s="123">
        <f t="shared" si="36"/>
        <v>1</v>
      </c>
      <c r="I57" s="123">
        <f t="shared" si="42"/>
        <v>0</v>
      </c>
      <c r="J57" s="123">
        <f t="shared" si="38"/>
        <v>1</v>
      </c>
      <c r="L57" s="652">
        <f t="shared" si="44"/>
        <v>0</v>
      </c>
      <c r="M57" s="137">
        <v>0.25</v>
      </c>
      <c r="N57" s="138">
        <v>500</v>
      </c>
      <c r="O57" s="138">
        <v>25</v>
      </c>
      <c r="P57" s="139">
        <v>115</v>
      </c>
      <c r="Q57" s="139" t="s">
        <v>400</v>
      </c>
      <c r="R57" s="142" t="s">
        <v>1390</v>
      </c>
      <c r="S57" s="143" t="s">
        <v>2013</v>
      </c>
      <c r="T57" s="143" t="s">
        <v>1991</v>
      </c>
      <c r="V57" s="142" t="s">
        <v>1397</v>
      </c>
      <c r="W57" s="612" t="s">
        <v>1993</v>
      </c>
      <c r="X57" s="143" t="s">
        <v>772</v>
      </c>
      <c r="Y57" s="143" t="s">
        <v>1994</v>
      </c>
      <c r="Z57" s="613" t="s">
        <v>715</v>
      </c>
      <c r="AB57" s="142" t="s">
        <v>974</v>
      </c>
      <c r="AE57" s="329">
        <f t="shared" si="43"/>
        <v>19.049999999999997</v>
      </c>
      <c r="AF57" s="142" t="s">
        <v>1413</v>
      </c>
      <c r="AG57" s="616" t="s">
        <v>1405</v>
      </c>
      <c r="AH57" s="338">
        <v>1</v>
      </c>
    </row>
    <row r="58" spans="1:34" x14ac:dyDescent="0.2">
      <c r="A58" s="368">
        <f t="shared" si="31"/>
        <v>0</v>
      </c>
      <c r="B58" s="368">
        <f t="shared" si="32"/>
        <v>1</v>
      </c>
      <c r="C58" s="368">
        <f t="shared" si="33"/>
        <v>1</v>
      </c>
      <c r="D58" s="144">
        <f t="shared" si="34"/>
        <v>2</v>
      </c>
      <c r="E58" s="117">
        <f t="shared" si="41"/>
        <v>1</v>
      </c>
      <c r="F58" s="593">
        <v>1</v>
      </c>
      <c r="G58" s="123">
        <f t="shared" si="35"/>
        <v>1</v>
      </c>
      <c r="H58" s="123">
        <f t="shared" si="36"/>
        <v>1</v>
      </c>
      <c r="I58" s="123">
        <f t="shared" si="42"/>
        <v>0</v>
      </c>
      <c r="J58" s="123">
        <f t="shared" si="38"/>
        <v>1</v>
      </c>
      <c r="L58" s="652">
        <f t="shared" si="44"/>
        <v>0</v>
      </c>
      <c r="M58" s="137">
        <v>0.33333333333333331</v>
      </c>
      <c r="N58" s="138">
        <v>58</v>
      </c>
      <c r="O58" s="138">
        <v>320</v>
      </c>
      <c r="P58" s="139">
        <v>115</v>
      </c>
      <c r="Q58" s="139" t="s">
        <v>400</v>
      </c>
      <c r="R58" s="142" t="s">
        <v>1391</v>
      </c>
      <c r="S58" s="143" t="s">
        <v>2014</v>
      </c>
      <c r="T58" s="143" t="s">
        <v>1991</v>
      </c>
      <c r="V58" s="142" t="s">
        <v>1397</v>
      </c>
      <c r="W58" s="612" t="s">
        <v>1993</v>
      </c>
      <c r="X58" s="143" t="s">
        <v>772</v>
      </c>
      <c r="Y58" s="143" t="s">
        <v>1994</v>
      </c>
      <c r="Z58" s="613" t="s">
        <v>715</v>
      </c>
      <c r="AB58" s="142" t="s">
        <v>974</v>
      </c>
      <c r="AE58" s="329">
        <f t="shared" si="43"/>
        <v>19.049999999999997</v>
      </c>
      <c r="AF58" s="142" t="s">
        <v>1414</v>
      </c>
      <c r="AG58" s="616" t="s">
        <v>1406</v>
      </c>
      <c r="AH58" s="338">
        <v>1</v>
      </c>
    </row>
    <row r="59" spans="1:34" x14ac:dyDescent="0.2">
      <c r="A59" s="368">
        <f t="shared" si="31"/>
        <v>1</v>
      </c>
      <c r="B59" s="368">
        <f t="shared" si="32"/>
        <v>1</v>
      </c>
      <c r="C59" s="368">
        <f t="shared" si="33"/>
        <v>1</v>
      </c>
      <c r="D59" s="144">
        <f t="shared" si="34"/>
        <v>1</v>
      </c>
      <c r="E59" s="117">
        <f t="shared" si="41"/>
        <v>1</v>
      </c>
      <c r="F59" s="593">
        <v>1</v>
      </c>
      <c r="G59" s="123">
        <f t="shared" si="35"/>
        <v>1</v>
      </c>
      <c r="H59" s="123">
        <f t="shared" si="36"/>
        <v>1</v>
      </c>
      <c r="I59" s="123">
        <f t="shared" si="42"/>
        <v>0</v>
      </c>
      <c r="J59" s="123">
        <f t="shared" si="38"/>
        <v>1</v>
      </c>
      <c r="L59" s="652">
        <f t="shared" si="44"/>
        <v>0</v>
      </c>
      <c r="M59" s="137">
        <v>0.33333333333333331</v>
      </c>
      <c r="N59" s="138">
        <v>115</v>
      </c>
      <c r="O59" s="138">
        <v>164</v>
      </c>
      <c r="P59" s="139">
        <v>115</v>
      </c>
      <c r="Q59" s="139" t="s">
        <v>400</v>
      </c>
      <c r="R59" s="142" t="s">
        <v>1392</v>
      </c>
      <c r="S59" s="143" t="s">
        <v>2015</v>
      </c>
      <c r="T59" s="143" t="s">
        <v>1991</v>
      </c>
      <c r="V59" s="142" t="s">
        <v>1397</v>
      </c>
      <c r="W59" s="612" t="s">
        <v>1993</v>
      </c>
      <c r="X59" s="143" t="s">
        <v>772</v>
      </c>
      <c r="Y59" s="143" t="s">
        <v>1994</v>
      </c>
      <c r="Z59" s="613" t="s">
        <v>715</v>
      </c>
      <c r="AB59" s="142" t="s">
        <v>974</v>
      </c>
      <c r="AE59" s="329">
        <f t="shared" si="43"/>
        <v>19.049999999999997</v>
      </c>
      <c r="AF59" s="142" t="s">
        <v>1414</v>
      </c>
      <c r="AG59" s="616" t="s">
        <v>1406</v>
      </c>
      <c r="AH59" s="122">
        <v>2</v>
      </c>
    </row>
    <row r="60" spans="1:34" x14ac:dyDescent="0.2">
      <c r="A60" s="368">
        <f t="shared" si="31"/>
        <v>0</v>
      </c>
      <c r="B60" s="368">
        <f t="shared" si="32"/>
        <v>0</v>
      </c>
      <c r="C60" s="368">
        <f t="shared" si="33"/>
        <v>0</v>
      </c>
      <c r="D60" s="144">
        <f t="shared" si="34"/>
        <v>0</v>
      </c>
      <c r="E60" s="117">
        <f t="shared" si="41"/>
        <v>1</v>
      </c>
      <c r="F60" s="593">
        <v>1</v>
      </c>
      <c r="G60" s="123">
        <f t="shared" si="35"/>
        <v>1</v>
      </c>
      <c r="H60" s="123">
        <f t="shared" si="36"/>
        <v>1</v>
      </c>
      <c r="I60" s="123">
        <f t="shared" si="42"/>
        <v>0</v>
      </c>
      <c r="J60" s="123">
        <f t="shared" si="38"/>
        <v>1</v>
      </c>
      <c r="L60" s="652">
        <f t="shared" si="44"/>
        <v>0</v>
      </c>
      <c r="M60" s="137">
        <v>0.33333333333333331</v>
      </c>
      <c r="N60" s="138">
        <v>345</v>
      </c>
      <c r="O60" s="138">
        <v>55</v>
      </c>
      <c r="P60" s="139">
        <v>115</v>
      </c>
      <c r="Q60" s="139" t="s">
        <v>400</v>
      </c>
      <c r="R60" s="142" t="s">
        <v>1393</v>
      </c>
      <c r="S60" s="143" t="s">
        <v>2016</v>
      </c>
      <c r="T60" s="143" t="s">
        <v>1991</v>
      </c>
      <c r="V60" s="142" t="s">
        <v>1397</v>
      </c>
      <c r="W60" s="612" t="s">
        <v>1993</v>
      </c>
      <c r="X60" s="143" t="s">
        <v>772</v>
      </c>
      <c r="Y60" s="143" t="s">
        <v>1994</v>
      </c>
      <c r="Z60" s="613" t="s">
        <v>715</v>
      </c>
      <c r="AB60" s="142" t="s">
        <v>974</v>
      </c>
      <c r="AE60" s="329">
        <f t="shared" si="43"/>
        <v>19.049999999999997</v>
      </c>
      <c r="AF60" s="142" t="s">
        <v>1414</v>
      </c>
      <c r="AG60" s="616" t="s">
        <v>1406</v>
      </c>
      <c r="AH60" s="122">
        <v>2</v>
      </c>
    </row>
    <row r="61" spans="1:34" x14ac:dyDescent="0.2">
      <c r="A61" s="368">
        <f t="shared" si="31"/>
        <v>1</v>
      </c>
      <c r="B61" s="368">
        <f t="shared" si="32"/>
        <v>1</v>
      </c>
      <c r="C61" s="368">
        <f t="shared" si="33"/>
        <v>1</v>
      </c>
      <c r="D61" s="144">
        <f t="shared" si="34"/>
        <v>1</v>
      </c>
      <c r="E61" s="117">
        <f t="shared" si="41"/>
        <v>1</v>
      </c>
      <c r="F61" s="593">
        <v>1</v>
      </c>
      <c r="G61" s="123">
        <f t="shared" si="35"/>
        <v>1</v>
      </c>
      <c r="H61" s="123">
        <f t="shared" si="36"/>
        <v>1</v>
      </c>
      <c r="I61" s="123">
        <f t="shared" si="42"/>
        <v>0</v>
      </c>
      <c r="J61" s="123">
        <f t="shared" si="38"/>
        <v>1</v>
      </c>
      <c r="L61" s="652">
        <f t="shared" si="44"/>
        <v>0</v>
      </c>
      <c r="M61" s="137">
        <v>0.5</v>
      </c>
      <c r="N61" s="138">
        <v>83</v>
      </c>
      <c r="O61" s="138">
        <v>337</v>
      </c>
      <c r="P61" s="139">
        <v>115</v>
      </c>
      <c r="Q61" s="139" t="s">
        <v>400</v>
      </c>
      <c r="R61" s="142" t="s">
        <v>1394</v>
      </c>
      <c r="S61" s="143" t="s">
        <v>2017</v>
      </c>
      <c r="T61" s="143" t="s">
        <v>1991</v>
      </c>
      <c r="V61" s="142" t="s">
        <v>1398</v>
      </c>
      <c r="W61" s="612" t="s">
        <v>2018</v>
      </c>
      <c r="X61" s="143" t="s">
        <v>772</v>
      </c>
      <c r="Y61" s="143" t="s">
        <v>1994</v>
      </c>
      <c r="Z61" s="613" t="s">
        <v>715</v>
      </c>
      <c r="AB61" s="142" t="s">
        <v>974</v>
      </c>
      <c r="AE61" s="329">
        <f t="shared" si="43"/>
        <v>19.049999999999997</v>
      </c>
      <c r="AF61" s="142" t="s">
        <v>1415</v>
      </c>
      <c r="AG61" s="616" t="s">
        <v>1407</v>
      </c>
      <c r="AH61" s="338">
        <v>1</v>
      </c>
    </row>
    <row r="62" spans="1:34" x14ac:dyDescent="0.2">
      <c r="A62" s="368">
        <f t="shared" si="31"/>
        <v>0</v>
      </c>
      <c r="B62" s="368">
        <f t="shared" si="32"/>
        <v>0</v>
      </c>
      <c r="C62" s="368">
        <f t="shared" si="33"/>
        <v>0</v>
      </c>
      <c r="D62" s="144">
        <f t="shared" si="34"/>
        <v>0</v>
      </c>
      <c r="E62" s="117">
        <f t="shared" si="41"/>
        <v>1</v>
      </c>
      <c r="F62" s="593">
        <v>1</v>
      </c>
      <c r="G62" s="123">
        <f t="shared" si="35"/>
        <v>1</v>
      </c>
      <c r="H62" s="123">
        <f t="shared" si="36"/>
        <v>1</v>
      </c>
      <c r="I62" s="123">
        <f t="shared" si="42"/>
        <v>0</v>
      </c>
      <c r="J62" s="123">
        <f t="shared" si="38"/>
        <v>1</v>
      </c>
      <c r="L62" s="652">
        <f t="shared" si="44"/>
        <v>0</v>
      </c>
      <c r="M62" s="137">
        <v>0.5</v>
      </c>
      <c r="N62" s="138">
        <v>167</v>
      </c>
      <c r="O62" s="138">
        <v>171</v>
      </c>
      <c r="P62" s="139">
        <v>115</v>
      </c>
      <c r="Q62" s="139" t="s">
        <v>400</v>
      </c>
      <c r="R62" s="142" t="s">
        <v>1395</v>
      </c>
      <c r="S62" s="143" t="s">
        <v>2019</v>
      </c>
      <c r="T62" s="143" t="s">
        <v>1991</v>
      </c>
      <c r="V62" s="142" t="s">
        <v>1398</v>
      </c>
      <c r="W62" s="612" t="s">
        <v>2018</v>
      </c>
      <c r="X62" s="143" t="s">
        <v>772</v>
      </c>
      <c r="Y62" s="143" t="s">
        <v>1994</v>
      </c>
      <c r="Z62" s="613" t="s">
        <v>715</v>
      </c>
      <c r="AB62" s="142" t="s">
        <v>974</v>
      </c>
      <c r="AE62" s="329">
        <f t="shared" si="43"/>
        <v>19.049999999999997</v>
      </c>
      <c r="AF62" s="142" t="s">
        <v>1415</v>
      </c>
      <c r="AG62" s="616" t="s">
        <v>1407</v>
      </c>
      <c r="AH62" s="338">
        <v>1</v>
      </c>
    </row>
    <row r="63" spans="1:34" x14ac:dyDescent="0.2">
      <c r="A63" s="368">
        <f t="shared" si="31"/>
        <v>0</v>
      </c>
      <c r="B63" s="368">
        <f t="shared" si="32"/>
        <v>0</v>
      </c>
      <c r="C63" s="368">
        <f t="shared" si="33"/>
        <v>0</v>
      </c>
      <c r="D63" s="144">
        <f t="shared" si="34"/>
        <v>0</v>
      </c>
      <c r="E63" s="117">
        <f t="shared" si="41"/>
        <v>1</v>
      </c>
      <c r="F63" s="593">
        <v>1</v>
      </c>
      <c r="G63" s="123">
        <f t="shared" si="35"/>
        <v>1</v>
      </c>
      <c r="H63" s="123">
        <f t="shared" si="36"/>
        <v>1</v>
      </c>
      <c r="I63" s="123">
        <f t="shared" si="42"/>
        <v>0</v>
      </c>
      <c r="J63" s="123">
        <f t="shared" si="38"/>
        <v>1</v>
      </c>
      <c r="L63" s="652">
        <f t="shared" si="44"/>
        <v>0</v>
      </c>
      <c r="M63" s="137">
        <v>0.5</v>
      </c>
      <c r="N63" s="138">
        <v>500</v>
      </c>
      <c r="O63" s="138">
        <v>57</v>
      </c>
      <c r="P63" s="139">
        <v>115</v>
      </c>
      <c r="Q63" s="139" t="s">
        <v>400</v>
      </c>
      <c r="R63" s="142" t="s">
        <v>1396</v>
      </c>
      <c r="S63" s="143" t="s">
        <v>2020</v>
      </c>
      <c r="T63" s="143" t="s">
        <v>1991</v>
      </c>
      <c r="V63" s="142" t="s">
        <v>1398</v>
      </c>
      <c r="W63" s="612" t="s">
        <v>2018</v>
      </c>
      <c r="X63" s="143" t="s">
        <v>772</v>
      </c>
      <c r="Y63" s="143" t="s">
        <v>1994</v>
      </c>
      <c r="Z63" s="613" t="s">
        <v>715</v>
      </c>
      <c r="AB63" s="142" t="s">
        <v>974</v>
      </c>
      <c r="AE63" s="329">
        <f t="shared" si="43"/>
        <v>19.049999999999997</v>
      </c>
      <c r="AF63" s="142" t="s">
        <v>1415</v>
      </c>
      <c r="AG63" s="616" t="s">
        <v>1407</v>
      </c>
      <c r="AH63" s="122">
        <v>2</v>
      </c>
    </row>
  </sheetData>
  <mergeCells count="5">
    <mergeCell ref="AH11:AH14"/>
    <mergeCell ref="A14:C14"/>
    <mergeCell ref="X11:Y12"/>
    <mergeCell ref="V11:W12"/>
    <mergeCell ref="R11:T12"/>
  </mergeCells>
  <phoneticPr fontId="0" type="noConversion"/>
  <pageMargins left="0.75" right="0.75" top="0.7" bottom="0.69" header="0.5" footer="0.5"/>
  <pageSetup scale="17" orientation="landscape" r:id="rId1"/>
  <headerFooter alignWithMargins="0">
    <oddFooter>&amp;L&amp;"Arial,Bold Italic"Note:  For all blanks, the values directly above carry down.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>
    <tabColor indexed="10"/>
  </sheetPr>
  <dimension ref="A1:J117"/>
  <sheetViews>
    <sheetView workbookViewId="0">
      <selection activeCell="G18" sqref="G18"/>
    </sheetView>
  </sheetViews>
  <sheetFormatPr defaultRowHeight="12.75" x14ac:dyDescent="0.2"/>
  <cols>
    <col min="1" max="1" width="23.7109375" bestFit="1" customWidth="1"/>
    <col min="2" max="2" width="9.5703125" customWidth="1"/>
    <col min="3" max="3" width="8.42578125" bestFit="1" customWidth="1"/>
    <col min="4" max="4" width="11.28515625" bestFit="1" customWidth="1"/>
    <col min="5" max="5" width="8.42578125" bestFit="1" customWidth="1"/>
    <col min="6" max="6" width="9.28515625" bestFit="1" customWidth="1"/>
    <col min="7" max="7" width="6.7109375" bestFit="1" customWidth="1"/>
    <col min="8" max="8" width="8.5703125" bestFit="1" customWidth="1"/>
    <col min="9" max="9" width="4.7109375" bestFit="1" customWidth="1"/>
    <col min="10" max="10" width="13.85546875" bestFit="1" customWidth="1"/>
  </cols>
  <sheetData>
    <row r="1" spans="1:10" x14ac:dyDescent="0.2">
      <c r="A1" s="50" t="s">
        <v>443</v>
      </c>
      <c r="D1" t="s">
        <v>452</v>
      </c>
    </row>
    <row r="2" spans="1:10" x14ac:dyDescent="0.2">
      <c r="A2" s="48">
        <v>50</v>
      </c>
      <c r="D2" t="s">
        <v>453</v>
      </c>
      <c r="E2" t="s">
        <v>455</v>
      </c>
      <c r="F2" t="s">
        <v>456</v>
      </c>
      <c r="G2" t="s">
        <v>457</v>
      </c>
    </row>
    <row r="3" spans="1:10" x14ac:dyDescent="0.2">
      <c r="A3" s="48">
        <v>100</v>
      </c>
      <c r="D3" s="51">
        <f>IF(P1Q1="Head",52,40)</f>
        <v>52</v>
      </c>
      <c r="E3" s="51">
        <v>50</v>
      </c>
      <c r="F3" s="51">
        <v>50</v>
      </c>
      <c r="G3" s="52">
        <f>IF(P1Q1="Head",MIN(D3:E3),MIN(D3:F3))</f>
        <v>50</v>
      </c>
    </row>
    <row r="4" spans="1:10" x14ac:dyDescent="0.2">
      <c r="A4" s="48">
        <v>150</v>
      </c>
    </row>
    <row r="5" spans="1:10" x14ac:dyDescent="0.2">
      <c r="A5" s="48">
        <v>200</v>
      </c>
      <c r="D5" t="s">
        <v>511</v>
      </c>
      <c r="H5" t="s">
        <v>826</v>
      </c>
    </row>
    <row r="6" spans="1:10" x14ac:dyDescent="0.2">
      <c r="A6" s="48">
        <v>250</v>
      </c>
      <c r="D6" s="50" t="s">
        <v>453</v>
      </c>
      <c r="E6" s="50" t="s">
        <v>509</v>
      </c>
      <c r="F6" s="50" t="s">
        <v>510</v>
      </c>
      <c r="G6" s="50" t="s">
        <v>477</v>
      </c>
      <c r="H6" s="50" t="s">
        <v>444</v>
      </c>
      <c r="I6" s="50" t="s">
        <v>487</v>
      </c>
    </row>
    <row r="7" spans="1:10" x14ac:dyDescent="0.2">
      <c r="A7" s="48">
        <v>300</v>
      </c>
      <c r="D7">
        <f>IF(P1Q1="Head",1,0)</f>
        <v>1</v>
      </c>
      <c r="E7">
        <v>1</v>
      </c>
      <c r="F7" s="70"/>
      <c r="G7">
        <f>MIN(D7:F7)</f>
        <v>1</v>
      </c>
      <c r="H7">
        <v>0.3</v>
      </c>
      <c r="I7">
        <f>+H7*G7</f>
        <v>0.3</v>
      </c>
      <c r="J7" t="s">
        <v>67</v>
      </c>
    </row>
    <row r="8" spans="1:10" x14ac:dyDescent="0.2">
      <c r="A8" s="48">
        <v>400</v>
      </c>
      <c r="D8">
        <f>IF(P1Q1="Head",1,0)</f>
        <v>1</v>
      </c>
      <c r="E8">
        <v>0</v>
      </c>
      <c r="F8" s="70"/>
      <c r="G8">
        <f>MIN(D8:F8)</f>
        <v>0</v>
      </c>
      <c r="H8">
        <v>0.6</v>
      </c>
      <c r="I8">
        <f>+H8*G8</f>
        <v>0</v>
      </c>
      <c r="J8" t="s">
        <v>68</v>
      </c>
    </row>
    <row r="9" spans="1:10" x14ac:dyDescent="0.2">
      <c r="A9" s="48">
        <v>500</v>
      </c>
      <c r="D9">
        <f>IF(P1Q1="Center",1,0)</f>
        <v>0</v>
      </c>
      <c r="E9">
        <v>1</v>
      </c>
      <c r="F9">
        <v>1</v>
      </c>
      <c r="G9">
        <f>MIN(D9:F9)</f>
        <v>0</v>
      </c>
      <c r="H9">
        <v>0.7</v>
      </c>
      <c r="I9">
        <f>+H9*G9</f>
        <v>0</v>
      </c>
      <c r="J9" t="s">
        <v>69</v>
      </c>
    </row>
    <row r="10" spans="1:10" x14ac:dyDescent="0.2">
      <c r="A10" s="48">
        <v>600</v>
      </c>
      <c r="D10">
        <f>IF(P1Q1="Center",1,0)</f>
        <v>0</v>
      </c>
      <c r="E10">
        <v>0</v>
      </c>
      <c r="F10">
        <v>1</v>
      </c>
      <c r="G10">
        <f>MIN(D10:F10)</f>
        <v>0</v>
      </c>
      <c r="H10">
        <v>1</v>
      </c>
      <c r="I10">
        <f>+H10*G10</f>
        <v>0</v>
      </c>
      <c r="J10" t="s">
        <v>70</v>
      </c>
    </row>
    <row r="11" spans="1:10" x14ac:dyDescent="0.2">
      <c r="A11" s="48">
        <v>700</v>
      </c>
      <c r="D11">
        <f>IF(P1Q1="Center",1,0)</f>
        <v>0</v>
      </c>
      <c r="E11">
        <v>0</v>
      </c>
      <c r="F11">
        <v>0</v>
      </c>
      <c r="G11">
        <f>MIN(D11:F11)</f>
        <v>0</v>
      </c>
      <c r="H11">
        <v>1.4</v>
      </c>
      <c r="I11">
        <f>+H11*G11</f>
        <v>0</v>
      </c>
      <c r="J11" t="s">
        <v>71</v>
      </c>
    </row>
    <row r="12" spans="1:10" x14ac:dyDescent="0.2">
      <c r="A12" s="48">
        <v>800</v>
      </c>
      <c r="D12" s="50" t="s">
        <v>453</v>
      </c>
      <c r="E12" s="50" t="s">
        <v>65</v>
      </c>
      <c r="F12" s="50" t="s">
        <v>66</v>
      </c>
      <c r="G12" s="50" t="s">
        <v>477</v>
      </c>
      <c r="H12" s="50" t="s">
        <v>444</v>
      </c>
    </row>
    <row r="13" spans="1:10" x14ac:dyDescent="0.2">
      <c r="D13">
        <f>IF(P1Q1="Head",1,0)</f>
        <v>1</v>
      </c>
      <c r="E13">
        <v>1</v>
      </c>
      <c r="G13">
        <f>MIN(D13:F13)</f>
        <v>1</v>
      </c>
      <c r="H13">
        <v>0.3</v>
      </c>
      <c r="I13">
        <f>+H13*G13</f>
        <v>0.3</v>
      </c>
      <c r="J13" t="s">
        <v>72</v>
      </c>
    </row>
    <row r="14" spans="1:10" x14ac:dyDescent="0.2">
      <c r="A14" s="50" t="s">
        <v>933</v>
      </c>
      <c r="D14">
        <f>IF(P1Q1="Head",1,0)</f>
        <v>1</v>
      </c>
      <c r="E14">
        <v>0</v>
      </c>
      <c r="G14">
        <f>MIN(D14:F14)</f>
        <v>0</v>
      </c>
      <c r="H14">
        <v>0.5</v>
      </c>
      <c r="I14">
        <f>+H14*G14</f>
        <v>0</v>
      </c>
      <c r="J14" t="s">
        <v>73</v>
      </c>
    </row>
    <row r="15" spans="1:10" x14ac:dyDescent="0.2">
      <c r="A15" s="46" t="s">
        <v>388</v>
      </c>
      <c r="D15">
        <f>IF(P1Q1="Center",1,0)</f>
        <v>0</v>
      </c>
      <c r="E15">
        <v>1</v>
      </c>
      <c r="F15">
        <v>1</v>
      </c>
      <c r="G15">
        <f>MIN(D15:F15)</f>
        <v>0</v>
      </c>
      <c r="H15">
        <v>0.7</v>
      </c>
      <c r="I15">
        <f>+H15*G15</f>
        <v>0</v>
      </c>
      <c r="J15" t="s">
        <v>74</v>
      </c>
    </row>
    <row r="16" spans="1:10" ht="13.5" thickBot="1" x14ac:dyDescent="0.25">
      <c r="A16" s="45" t="s">
        <v>389</v>
      </c>
      <c r="D16">
        <f>IF(P1Q1="Center",1,0)</f>
        <v>0</v>
      </c>
      <c r="E16">
        <v>0</v>
      </c>
      <c r="F16">
        <v>1</v>
      </c>
      <c r="G16">
        <f>MIN(D16:F16)</f>
        <v>0</v>
      </c>
      <c r="H16">
        <v>0.9</v>
      </c>
      <c r="I16">
        <f>+H16*G16</f>
        <v>0</v>
      </c>
      <c r="J16" t="s">
        <v>75</v>
      </c>
    </row>
    <row r="17" spans="1:10" x14ac:dyDescent="0.2">
      <c r="D17">
        <f>IF(P1Q1="Center",1,0)</f>
        <v>0</v>
      </c>
      <c r="E17">
        <v>0</v>
      </c>
      <c r="F17">
        <v>0</v>
      </c>
      <c r="G17">
        <f>MIN(D17:F17)</f>
        <v>0</v>
      </c>
      <c r="H17">
        <v>1.2</v>
      </c>
      <c r="I17">
        <f>+H17*G17</f>
        <v>0</v>
      </c>
      <c r="J17" t="s">
        <v>76</v>
      </c>
    </row>
    <row r="18" spans="1:10" x14ac:dyDescent="0.2">
      <c r="A18" s="267" t="s">
        <v>1094</v>
      </c>
      <c r="I18" s="71">
        <f>MAX(I7:I17)</f>
        <v>0.3</v>
      </c>
      <c r="J18" s="72" t="s">
        <v>444</v>
      </c>
    </row>
    <row r="19" spans="1:10" x14ac:dyDescent="0.2">
      <c r="A19" s="46" t="s">
        <v>1975</v>
      </c>
    </row>
    <row r="20" spans="1:10" ht="13.5" thickBot="1" x14ac:dyDescent="0.25">
      <c r="A20" s="45" t="s">
        <v>1730</v>
      </c>
    </row>
    <row r="22" spans="1:10" x14ac:dyDescent="0.2">
      <c r="A22" s="50" t="s">
        <v>391</v>
      </c>
    </row>
    <row r="23" spans="1:10" x14ac:dyDescent="0.2">
      <c r="A23" s="46" t="s">
        <v>392</v>
      </c>
    </row>
    <row r="24" spans="1:10" ht="13.5" thickBot="1" x14ac:dyDescent="0.25">
      <c r="A24" s="45" t="s">
        <v>393</v>
      </c>
    </row>
    <row r="26" spans="1:10" x14ac:dyDescent="0.2">
      <c r="A26" s="50" t="s">
        <v>394</v>
      </c>
    </row>
    <row r="27" spans="1:10" x14ac:dyDescent="0.2">
      <c r="A27" s="46" t="s">
        <v>395</v>
      </c>
    </row>
    <row r="28" spans="1:10" ht="13.5" thickBot="1" x14ac:dyDescent="0.25">
      <c r="A28" s="45" t="s">
        <v>396</v>
      </c>
    </row>
    <row r="30" spans="1:10" ht="13.5" thickBot="1" x14ac:dyDescent="0.25">
      <c r="A30" s="53" t="s">
        <v>445</v>
      </c>
      <c r="B30" s="50" t="s">
        <v>526</v>
      </c>
      <c r="C30" s="50" t="s">
        <v>855</v>
      </c>
      <c r="D30" s="50" t="s">
        <v>527</v>
      </c>
    </row>
    <row r="31" spans="1:10" x14ac:dyDescent="0.2">
      <c r="A31" s="44" t="str">
        <f>IF(D31=1,"AC","")</f>
        <v>AC</v>
      </c>
      <c r="B31" s="70">
        <v>1</v>
      </c>
      <c r="C31" s="253">
        <f>IF(p0q1&lt;310,0,1)</f>
        <v>1</v>
      </c>
      <c r="D31">
        <f>MIN(B31:C31)</f>
        <v>1</v>
      </c>
      <c r="E31" s="490" t="s">
        <v>698</v>
      </c>
    </row>
    <row r="32" spans="1:10" x14ac:dyDescent="0.2">
      <c r="A32" s="46" t="str">
        <f>IF(D32=1,"AM","")</f>
        <v>AM</v>
      </c>
      <c r="B32" s="70">
        <v>1</v>
      </c>
      <c r="C32" s="253">
        <f>IF(p0q1&lt;450,0,1)</f>
        <v>1</v>
      </c>
      <c r="D32">
        <f>MIN(B32:C32)</f>
        <v>1</v>
      </c>
      <c r="E32" s="490" t="s">
        <v>691</v>
      </c>
    </row>
    <row r="33" spans="1:5" ht="13.5" thickBot="1" x14ac:dyDescent="0.25">
      <c r="A33" s="45" t="str">
        <f>IF(D33=1,"AU","")</f>
        <v>AU</v>
      </c>
      <c r="B33" s="70">
        <v>1</v>
      </c>
      <c r="C33" s="253">
        <f>IF(p0q1&lt;310,0,1)</f>
        <v>1</v>
      </c>
      <c r="D33">
        <f>MIN(B33:C33)</f>
        <v>1</v>
      </c>
      <c r="E33" s="490" t="s">
        <v>701</v>
      </c>
    </row>
    <row r="34" spans="1:5" ht="13.5" thickBot="1" x14ac:dyDescent="0.25"/>
    <row r="35" spans="1:5" x14ac:dyDescent="0.2">
      <c r="A35" s="237" t="s">
        <v>815</v>
      </c>
    </row>
    <row r="36" spans="1:5" x14ac:dyDescent="0.2">
      <c r="A36" s="46" t="s">
        <v>816</v>
      </c>
    </row>
    <row r="37" spans="1:5" ht="13.5" thickBot="1" x14ac:dyDescent="0.25">
      <c r="A37" s="45" t="s">
        <v>817</v>
      </c>
    </row>
    <row r="39" spans="1:5" ht="13.5" thickBot="1" x14ac:dyDescent="0.25">
      <c r="A39" s="53" t="s">
        <v>446</v>
      </c>
      <c r="B39" s="50" t="s">
        <v>526</v>
      </c>
      <c r="C39" s="50" t="s">
        <v>855</v>
      </c>
      <c r="D39" s="50" t="s">
        <v>527</v>
      </c>
    </row>
    <row r="40" spans="1:5" x14ac:dyDescent="0.2">
      <c r="A40" s="44" t="str">
        <f>IF(D40=1,"BA","")</f>
        <v/>
      </c>
      <c r="B40">
        <v>0</v>
      </c>
      <c r="C40" s="253">
        <f>IF(p0q1&lt;500,0,1)</f>
        <v>1</v>
      </c>
      <c r="D40">
        <f>MIN(B40:C40)</f>
        <v>0</v>
      </c>
    </row>
    <row r="41" spans="1:5" x14ac:dyDescent="0.2">
      <c r="A41" s="46" t="str">
        <f>IF(D41=1,"BC","")</f>
        <v>BC</v>
      </c>
      <c r="B41" s="70">
        <v>1</v>
      </c>
      <c r="C41" s="253">
        <f>IF(p0q1&lt;500,0,1)</f>
        <v>1</v>
      </c>
      <c r="D41">
        <f>MIN(B41:C41)</f>
        <v>1</v>
      </c>
    </row>
    <row r="42" spans="1:5" ht="13.5" thickBot="1" x14ac:dyDescent="0.25">
      <c r="A42" s="45" t="str">
        <f>IF(D42=1,"BE","")</f>
        <v/>
      </c>
      <c r="B42">
        <v>0</v>
      </c>
      <c r="C42" s="253">
        <f>IF(p0q1&lt;500,0,1)</f>
        <v>1</v>
      </c>
      <c r="D42">
        <f>MIN(B42:C42)</f>
        <v>0</v>
      </c>
    </row>
    <row r="44" spans="1:5" x14ac:dyDescent="0.2">
      <c r="A44" s="50" t="s">
        <v>447</v>
      </c>
    </row>
    <row r="45" spans="1:5" x14ac:dyDescent="0.2">
      <c r="A45" s="46" t="s">
        <v>403</v>
      </c>
    </row>
    <row r="46" spans="1:5" x14ac:dyDescent="0.2">
      <c r="A46" s="46" t="s">
        <v>399</v>
      </c>
    </row>
    <row r="47" spans="1:5" ht="13.5" thickBot="1" x14ac:dyDescent="0.25">
      <c r="A47" s="45" t="s">
        <v>400</v>
      </c>
    </row>
    <row r="49" spans="1:1" x14ac:dyDescent="0.2">
      <c r="A49" s="267" t="s">
        <v>1912</v>
      </c>
    </row>
    <row r="50" spans="1:1" x14ac:dyDescent="0.2">
      <c r="A50" s="46" t="s">
        <v>403</v>
      </c>
    </row>
    <row r="51" spans="1:1" x14ac:dyDescent="0.2">
      <c r="A51" s="46">
        <v>115</v>
      </c>
    </row>
    <row r="52" spans="1:1" x14ac:dyDescent="0.2">
      <c r="A52" s="46">
        <v>208</v>
      </c>
    </row>
    <row r="53" spans="1:1" x14ac:dyDescent="0.2">
      <c r="A53" s="46">
        <v>230</v>
      </c>
    </row>
    <row r="54" spans="1:1" x14ac:dyDescent="0.2">
      <c r="A54" s="46">
        <v>460</v>
      </c>
    </row>
    <row r="55" spans="1:1" ht="13.5" thickBot="1" x14ac:dyDescent="0.25">
      <c r="A55" s="45">
        <v>575</v>
      </c>
    </row>
    <row r="57" spans="1:1" x14ac:dyDescent="0.2">
      <c r="A57" s="50" t="s">
        <v>1447</v>
      </c>
    </row>
    <row r="58" spans="1:1" x14ac:dyDescent="0.2">
      <c r="A58" s="393" t="s">
        <v>403</v>
      </c>
    </row>
    <row r="59" spans="1:1" x14ac:dyDescent="0.2">
      <c r="A59" s="394" t="s">
        <v>963</v>
      </c>
    </row>
    <row r="60" spans="1:1" x14ac:dyDescent="0.2">
      <c r="A60" s="394" t="s">
        <v>1991</v>
      </c>
    </row>
    <row r="62" spans="1:1" x14ac:dyDescent="0.2">
      <c r="A62" s="50" t="s">
        <v>449</v>
      </c>
    </row>
    <row r="63" spans="1:1" x14ac:dyDescent="0.2">
      <c r="A63" s="46" t="s">
        <v>403</v>
      </c>
    </row>
    <row r="64" spans="1:1" x14ac:dyDescent="0.2">
      <c r="A64" s="46" t="s">
        <v>404</v>
      </c>
    </row>
    <row r="65" spans="1:3" ht="13.5" thickBot="1" x14ac:dyDescent="0.25">
      <c r="A65" s="45" t="s">
        <v>405</v>
      </c>
    </row>
    <row r="67" spans="1:3" x14ac:dyDescent="0.2">
      <c r="A67" s="267" t="s">
        <v>1913</v>
      </c>
    </row>
    <row r="68" spans="1:3" x14ac:dyDescent="0.2">
      <c r="A68" s="46">
        <v>115</v>
      </c>
    </row>
    <row r="69" spans="1:3" x14ac:dyDescent="0.2">
      <c r="A69" s="46">
        <v>208</v>
      </c>
    </row>
    <row r="70" spans="1:3" x14ac:dyDescent="0.2">
      <c r="A70" s="46">
        <v>230</v>
      </c>
    </row>
    <row r="71" spans="1:3" x14ac:dyDescent="0.2">
      <c r="A71" s="46">
        <v>460</v>
      </c>
    </row>
    <row r="72" spans="1:3" ht="13.5" thickBot="1" x14ac:dyDescent="0.25">
      <c r="A72" s="45">
        <v>575</v>
      </c>
    </row>
    <row r="74" spans="1:3" x14ac:dyDescent="0.2">
      <c r="A74" s="50" t="s">
        <v>450</v>
      </c>
      <c r="B74" t="s">
        <v>406</v>
      </c>
      <c r="C74" t="s">
        <v>454</v>
      </c>
    </row>
    <row r="75" spans="1:3" x14ac:dyDescent="0.2">
      <c r="A75" s="46" t="str">
        <f>IF(P0Q2&gt;B75," ","01")</f>
        <v>01</v>
      </c>
      <c r="B75">
        <v>800</v>
      </c>
      <c r="C75">
        <v>52</v>
      </c>
    </row>
    <row r="76" spans="1:3" x14ac:dyDescent="0.2">
      <c r="A76" s="46" t="str">
        <f>IF(P0Q2&gt;B76," ","09")</f>
        <v xml:space="preserve"> </v>
      </c>
      <c r="B76">
        <v>500</v>
      </c>
      <c r="C76">
        <v>52</v>
      </c>
    </row>
    <row r="77" spans="1:3" x14ac:dyDescent="0.2">
      <c r="A77" s="46" t="str">
        <f>IF(P0Q2&gt;B77," ","11")</f>
        <v xml:space="preserve"> </v>
      </c>
      <c r="B77">
        <v>500</v>
      </c>
      <c r="C77">
        <v>52</v>
      </c>
    </row>
    <row r="78" spans="1:3" x14ac:dyDescent="0.2">
      <c r="A78" s="46" t="str">
        <f>IF(P0Q2&gt;B78," ","13")</f>
        <v>13</v>
      </c>
      <c r="B78">
        <v>800</v>
      </c>
      <c r="C78">
        <v>20</v>
      </c>
    </row>
    <row r="79" spans="1:3" x14ac:dyDescent="0.2">
      <c r="A79" s="46" t="str">
        <f>IF(P0Q2&gt;B79," ",IF(P0Q4&gt;9.2," ","17"))</f>
        <v xml:space="preserve"> </v>
      </c>
      <c r="B79">
        <v>300</v>
      </c>
      <c r="C79">
        <v>10</v>
      </c>
    </row>
    <row r="80" spans="1:3" ht="13.5" thickBot="1" x14ac:dyDescent="0.25">
      <c r="A80" s="45" t="str">
        <f>IF(P0Q2&gt;B80," ","19")</f>
        <v>19</v>
      </c>
      <c r="B80">
        <v>800</v>
      </c>
      <c r="C80">
        <v>52</v>
      </c>
    </row>
    <row r="82" spans="1:2" ht="13.5" thickBot="1" x14ac:dyDescent="0.25">
      <c r="A82" s="53" t="s">
        <v>489</v>
      </c>
      <c r="B82" s="50" t="s">
        <v>488</v>
      </c>
    </row>
    <row r="83" spans="1:2" x14ac:dyDescent="0.2">
      <c r="A83" s="44" t="s">
        <v>389</v>
      </c>
    </row>
    <row r="84" spans="1:2" x14ac:dyDescent="0.2">
      <c r="A84" s="46" t="s">
        <v>490</v>
      </c>
    </row>
    <row r="85" spans="1:2" ht="13.5" thickBot="1" x14ac:dyDescent="0.25">
      <c r="A85" s="45" t="s">
        <v>491</v>
      </c>
    </row>
    <row r="87" spans="1:2" ht="13.5" thickBot="1" x14ac:dyDescent="0.25">
      <c r="A87" s="53" t="s">
        <v>639</v>
      </c>
      <c r="B87" s="50" t="s">
        <v>581</v>
      </c>
    </row>
    <row r="88" spans="1:2" x14ac:dyDescent="0.2">
      <c r="A88" s="44" t="s">
        <v>389</v>
      </c>
    </row>
    <row r="89" spans="1:2" x14ac:dyDescent="0.2">
      <c r="A89" s="46" t="s">
        <v>635</v>
      </c>
    </row>
    <row r="90" spans="1:2" ht="13.5" thickBot="1" x14ac:dyDescent="0.25">
      <c r="A90" s="45" t="s">
        <v>528</v>
      </c>
    </row>
    <row r="92" spans="1:2" ht="13.5" thickBot="1" x14ac:dyDescent="0.25">
      <c r="A92" s="53" t="s">
        <v>1142</v>
      </c>
      <c r="B92" s="50" t="s">
        <v>581</v>
      </c>
    </row>
    <row r="93" spans="1:2" x14ac:dyDescent="0.2">
      <c r="A93" s="44">
        <v>1</v>
      </c>
    </row>
    <row r="94" spans="1:2" ht="13.5" thickBot="1" x14ac:dyDescent="0.25">
      <c r="A94" s="45">
        <v>2</v>
      </c>
    </row>
    <row r="96" spans="1:2" ht="13.5" thickBot="1" x14ac:dyDescent="0.25">
      <c r="A96" s="53" t="s">
        <v>533</v>
      </c>
    </row>
    <row r="97" spans="1:4" x14ac:dyDescent="0.2">
      <c r="A97" s="44" t="s">
        <v>534</v>
      </c>
    </row>
    <row r="98" spans="1:4" ht="13.5" thickBot="1" x14ac:dyDescent="0.25">
      <c r="A98" s="45" t="s">
        <v>535</v>
      </c>
    </row>
    <row r="100" spans="1:4" ht="13.5" thickBot="1" x14ac:dyDescent="0.25">
      <c r="A100" s="53" t="s">
        <v>535</v>
      </c>
    </row>
    <row r="101" spans="1:4" x14ac:dyDescent="0.2">
      <c r="A101" s="44">
        <v>50</v>
      </c>
    </row>
    <row r="102" spans="1:4" x14ac:dyDescent="0.2">
      <c r="A102" s="46">
        <v>50</v>
      </c>
    </row>
    <row r="103" spans="1:4" ht="13.5" thickBot="1" x14ac:dyDescent="0.25">
      <c r="A103" s="45">
        <v>50</v>
      </c>
    </row>
    <row r="105" spans="1:4" x14ac:dyDescent="0.2">
      <c r="A105" s="50" t="s">
        <v>537</v>
      </c>
      <c r="B105" s="50" t="s">
        <v>538</v>
      </c>
      <c r="C105" s="50" t="s">
        <v>539</v>
      </c>
      <c r="D105" s="50" t="s">
        <v>784</v>
      </c>
    </row>
    <row r="106" spans="1:4" x14ac:dyDescent="0.2">
      <c r="A106" t="s">
        <v>534</v>
      </c>
      <c r="B106">
        <f>+P7Q2</f>
        <v>0</v>
      </c>
      <c r="C106">
        <f>IF(B106&lt;&gt;0,1,0)</f>
        <v>0</v>
      </c>
      <c r="D106">
        <f>+C106*(P0Q2-2)</f>
        <v>0</v>
      </c>
    </row>
    <row r="107" spans="1:4" x14ac:dyDescent="0.2">
      <c r="A107" t="s">
        <v>535</v>
      </c>
      <c r="B107">
        <f>+P7Q5</f>
        <v>0</v>
      </c>
      <c r="C107">
        <f>IF(B107&lt;&gt;0,1,0)</f>
        <v>0</v>
      </c>
      <c r="D107">
        <f>+C107*(P0Q2)</f>
        <v>0</v>
      </c>
    </row>
    <row r="108" spans="1:4" x14ac:dyDescent="0.2">
      <c r="C108" s="71">
        <f>SUM(C106:C107)</f>
        <v>0</v>
      </c>
      <c r="D108" s="71">
        <f>SUM(D106:D107)</f>
        <v>0</v>
      </c>
    </row>
    <row r="110" spans="1:4" ht="13.5" thickBot="1" x14ac:dyDescent="0.25">
      <c r="A110" s="53" t="s">
        <v>2150</v>
      </c>
    </row>
    <row r="111" spans="1:4" x14ac:dyDescent="0.2">
      <c r="A111" s="691" t="s">
        <v>2147</v>
      </c>
    </row>
    <row r="112" spans="1:4" x14ac:dyDescent="0.2">
      <c r="A112" s="692" t="s">
        <v>2148</v>
      </c>
    </row>
    <row r="113" spans="1:1" ht="13.5" thickBot="1" x14ac:dyDescent="0.25">
      <c r="A113" s="693" t="s">
        <v>2149</v>
      </c>
    </row>
    <row r="115" spans="1:1" ht="13.5" thickBot="1" x14ac:dyDescent="0.25">
      <c r="A115" s="695" t="s">
        <v>2151</v>
      </c>
    </row>
    <row r="116" spans="1:1" x14ac:dyDescent="0.2">
      <c r="A116" s="696" t="s">
        <v>2152</v>
      </c>
    </row>
    <row r="117" spans="1:1" ht="13.5" thickBot="1" x14ac:dyDescent="0.25">
      <c r="A117" s="697" t="s">
        <v>2153</v>
      </c>
    </row>
  </sheetData>
  <phoneticPr fontId="7" type="noConversion"/>
  <pageMargins left="0.75" right="0.75" top="1" bottom="1" header="0.5" footer="0.5"/>
  <pageSetup orientation="portrait" horizontalDpi="1200" verticalDpi="1200" r:id="rId1"/>
  <headerFooter alignWithMargins="0"/>
  <ignoredErrors>
    <ignoredError sqref="A117" twoDigitTextYear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indexed="10"/>
    <pageSetUpPr fitToPage="1"/>
  </sheetPr>
  <dimension ref="A1:P48"/>
  <sheetViews>
    <sheetView workbookViewId="0">
      <selection activeCell="N22" sqref="N22"/>
    </sheetView>
  </sheetViews>
  <sheetFormatPr defaultColWidth="8.85546875" defaultRowHeight="12.75" x14ac:dyDescent="0.2"/>
  <cols>
    <col min="1" max="3" width="8.85546875" style="1" customWidth="1"/>
    <col min="4" max="4" width="8.28515625" style="1" customWidth="1"/>
    <col min="5" max="5" width="5.85546875" style="1" bestFit="1" customWidth="1"/>
    <col min="6" max="6" width="8.85546875" style="1" customWidth="1"/>
    <col min="7" max="7" width="10.28515625" style="1" customWidth="1"/>
    <col min="8" max="8" width="10" style="1" customWidth="1"/>
    <col min="9" max="9" width="8.85546875" style="1" customWidth="1"/>
    <col min="10" max="10" width="8.5703125" style="1" bestFit="1" customWidth="1"/>
    <col min="11" max="11" width="8.85546875" style="1" customWidth="1"/>
    <col min="12" max="12" width="9.5703125" style="1" bestFit="1" customWidth="1"/>
    <col min="13" max="13" width="4.5703125" style="1" customWidth="1"/>
    <col min="14" max="14" width="8.85546875" style="1" customWidth="1"/>
    <col min="15" max="15" width="4.7109375" style="1" customWidth="1"/>
    <col min="16" max="16384" width="8.85546875" style="1"/>
  </cols>
  <sheetData>
    <row r="1" spans="1:9" x14ac:dyDescent="0.2">
      <c r="C1" s="2"/>
      <c r="D1" s="2"/>
      <c r="E1" s="3"/>
      <c r="F1" s="4"/>
    </row>
    <row r="2" spans="1:9" ht="15.75" x14ac:dyDescent="0.25">
      <c r="B2" s="37" t="s">
        <v>390</v>
      </c>
      <c r="C2" s="2"/>
      <c r="D2" s="2"/>
      <c r="E2" s="3"/>
      <c r="F2" s="4"/>
    </row>
    <row r="3" spans="1:9" x14ac:dyDescent="0.2">
      <c r="C3" s="2"/>
      <c r="D3" s="2"/>
      <c r="E3" s="3"/>
      <c r="F3" s="4"/>
    </row>
    <row r="4" spans="1:9" x14ac:dyDescent="0.2">
      <c r="A4" s="934" t="s">
        <v>367</v>
      </c>
      <c r="B4" s="935"/>
      <c r="C4" s="28">
        <f>+P0Q2</f>
        <v>800</v>
      </c>
      <c r="D4" s="24" t="s">
        <v>310</v>
      </c>
      <c r="E4" s="3"/>
      <c r="G4" s="79" t="s">
        <v>516</v>
      </c>
      <c r="H4" s="80"/>
    </row>
    <row r="5" spans="1:9" x14ac:dyDescent="0.2">
      <c r="A5" s="934" t="s">
        <v>368</v>
      </c>
      <c r="B5" s="935"/>
      <c r="C5" s="28">
        <f>+p0q1</f>
        <v>3352.8</v>
      </c>
      <c r="D5" s="24" t="s">
        <v>310</v>
      </c>
      <c r="E5" s="3"/>
      <c r="G5" s="81" t="s">
        <v>657</v>
      </c>
      <c r="H5" s="83">
        <f>+J30</f>
        <v>111.94849972700983</v>
      </c>
    </row>
    <row r="6" spans="1:9" x14ac:dyDescent="0.2">
      <c r="A6" s="934" t="s">
        <v>363</v>
      </c>
      <c r="B6" s="935"/>
      <c r="C6" s="28">
        <f>+P0Q4*3.2808</f>
        <v>60</v>
      </c>
      <c r="D6" s="24" t="s">
        <v>364</v>
      </c>
      <c r="E6" s="3"/>
      <c r="F6" s="524" t="s">
        <v>1911</v>
      </c>
      <c r="G6" s="81" t="s">
        <v>350</v>
      </c>
      <c r="H6" s="83">
        <f>IF(P6Q8="No",+L41,P41)</f>
        <v>0.1095398778144054</v>
      </c>
      <c r="I6" s="1" t="str">
        <f>+"1/"&amp;+ROUND((1/H6),0)</f>
        <v>1/9</v>
      </c>
    </row>
    <row r="7" spans="1:9" x14ac:dyDescent="0.2">
      <c r="A7" s="934" t="s">
        <v>365</v>
      </c>
      <c r="B7" s="935"/>
      <c r="C7" s="28">
        <f>+p0q3*2.2</f>
        <v>60</v>
      </c>
      <c r="D7" s="24" t="s">
        <v>366</v>
      </c>
      <c r="E7" s="3"/>
      <c r="F7" s="4"/>
      <c r="G7" s="82" t="s">
        <v>517</v>
      </c>
      <c r="H7" s="84">
        <f>IF(P6Q8="No",+L48,P48)</f>
        <v>61.669358292069255</v>
      </c>
    </row>
    <row r="8" spans="1:9" x14ac:dyDescent="0.2">
      <c r="A8" s="934" t="s">
        <v>369</v>
      </c>
      <c r="B8" s="935"/>
      <c r="C8" s="28">
        <f>IF(P1Q1="Head",52,62)</f>
        <v>52</v>
      </c>
      <c r="D8" s="32" t="s">
        <v>370</v>
      </c>
      <c r="E8" s="3"/>
      <c r="F8" s="4"/>
    </row>
    <row r="9" spans="1:9" x14ac:dyDescent="0.2">
      <c r="A9" s="934" t="s">
        <v>371</v>
      </c>
      <c r="B9" s="935"/>
      <c r="C9" s="28">
        <f>+P6Q9</f>
        <v>0</v>
      </c>
      <c r="D9" s="32" t="s">
        <v>360</v>
      </c>
      <c r="E9" s="3"/>
      <c r="F9" s="4"/>
    </row>
    <row r="10" spans="1:9" x14ac:dyDescent="0.2">
      <c r="A10" s="934" t="s">
        <v>386</v>
      </c>
      <c r="B10" s="935"/>
      <c r="C10" s="31">
        <f>+FrictionFactor</f>
        <v>0.3</v>
      </c>
      <c r="D10" s="32"/>
      <c r="E10" s="3"/>
      <c r="F10" s="4"/>
    </row>
    <row r="11" spans="1:9" x14ac:dyDescent="0.2">
      <c r="A11" s="934" t="s">
        <v>385</v>
      </c>
      <c r="B11" s="935"/>
      <c r="C11" s="43" t="str">
        <f>+P6Q8</f>
        <v>No</v>
      </c>
      <c r="D11" s="32" t="s">
        <v>387</v>
      </c>
      <c r="E11" s="3"/>
      <c r="F11" s="4"/>
    </row>
    <row r="12" spans="1:9" x14ac:dyDescent="0.2">
      <c r="F12" s="4"/>
    </row>
    <row r="13" spans="1:9" x14ac:dyDescent="0.2">
      <c r="A13" s="934" t="s">
        <v>372</v>
      </c>
      <c r="B13" s="935"/>
      <c r="C13" s="938" t="str">
        <f>+P6Q10</f>
        <v>460445</v>
      </c>
      <c r="D13" s="939"/>
      <c r="E13" s="3"/>
      <c r="F13" s="4"/>
    </row>
    <row r="14" spans="1:9" ht="14.25" x14ac:dyDescent="0.2">
      <c r="A14" s="934" t="s">
        <v>374</v>
      </c>
      <c r="B14" s="935"/>
      <c r="C14" s="41">
        <v>3.5</v>
      </c>
      <c r="D14" s="24" t="s">
        <v>373</v>
      </c>
      <c r="E14" s="3"/>
      <c r="F14" s="4"/>
    </row>
    <row r="15" spans="1:9" x14ac:dyDescent="0.2">
      <c r="F15" s="4"/>
    </row>
    <row r="16" spans="1:9" x14ac:dyDescent="0.2">
      <c r="F16" s="4"/>
    </row>
    <row r="17" spans="1:16" x14ac:dyDescent="0.2">
      <c r="E17" s="3"/>
      <c r="F17" s="4"/>
    </row>
    <row r="18" spans="1:16" x14ac:dyDescent="0.2">
      <c r="A18" s="1" t="s">
        <v>324</v>
      </c>
      <c r="C18" s="2" t="s">
        <v>308</v>
      </c>
      <c r="D18" s="33">
        <f>+$C$6/3.2808</f>
        <v>18.288222384784198</v>
      </c>
      <c r="E18" s="1" t="s">
        <v>347</v>
      </c>
      <c r="F18" s="16" t="s">
        <v>354</v>
      </c>
      <c r="G18" s="17"/>
      <c r="H18" s="18"/>
      <c r="I18" s="18"/>
      <c r="J18" s="19"/>
    </row>
    <row r="19" spans="1:16" x14ac:dyDescent="0.2">
      <c r="A19" s="1" t="s">
        <v>323</v>
      </c>
      <c r="C19" s="2" t="s">
        <v>362</v>
      </c>
      <c r="D19" s="33">
        <f>+$C$5/1000</f>
        <v>3.3528000000000002</v>
      </c>
      <c r="E19" s="1" t="s">
        <v>309</v>
      </c>
      <c r="F19" s="20" t="s">
        <v>355</v>
      </c>
      <c r="H19" s="10"/>
      <c r="I19" s="936" t="str">
        <f>+$C$13</f>
        <v>460445</v>
      </c>
      <c r="J19" s="937"/>
    </row>
    <row r="20" spans="1:16" x14ac:dyDescent="0.2">
      <c r="A20" s="1" t="s">
        <v>359</v>
      </c>
      <c r="D20" s="34">
        <f>+$C$4</f>
        <v>800</v>
      </c>
      <c r="E20" s="1" t="s">
        <v>310</v>
      </c>
      <c r="F20" s="20" t="s">
        <v>356</v>
      </c>
      <c r="H20" s="2"/>
      <c r="I20" s="10" t="s">
        <v>357</v>
      </c>
      <c r="J20" s="35">
        <f>+$C$14</f>
        <v>3.5</v>
      </c>
    </row>
    <row r="21" spans="1:16" x14ac:dyDescent="0.2">
      <c r="A21" s="1" t="s">
        <v>322</v>
      </c>
      <c r="C21" s="2"/>
      <c r="D21" s="34">
        <f>+$C$8</f>
        <v>52</v>
      </c>
      <c r="E21" s="1" t="s">
        <v>310</v>
      </c>
      <c r="F21" s="21" t="s">
        <v>358</v>
      </c>
      <c r="G21" s="29"/>
      <c r="H21" s="29"/>
      <c r="I21" s="22" t="s">
        <v>311</v>
      </c>
      <c r="J21" s="30">
        <f>+(((D19*2)+0.14)*(D20/1000))*J20</f>
        <v>19.167680000000001</v>
      </c>
    </row>
    <row r="22" spans="1:16" x14ac:dyDescent="0.2">
      <c r="A22" s="1" t="s">
        <v>325</v>
      </c>
      <c r="C22" s="2"/>
      <c r="D22" s="419">
        <v>0.85</v>
      </c>
      <c r="F22" s="8"/>
      <c r="G22" s="8"/>
      <c r="H22" s="8"/>
      <c r="I22" s="8"/>
      <c r="J22" s="8"/>
      <c r="K22" s="8"/>
      <c r="L22" s="4"/>
    </row>
    <row r="23" spans="1:16" x14ac:dyDescent="0.2">
      <c r="A23" s="1" t="s">
        <v>326</v>
      </c>
      <c r="C23" s="2"/>
      <c r="D23" s="594">
        <v>1.25</v>
      </c>
      <c r="E23" s="1" t="s">
        <v>1542</v>
      </c>
      <c r="F23" s="443" t="s">
        <v>1978</v>
      </c>
      <c r="G23" s="8"/>
      <c r="H23" s="8"/>
      <c r="I23" s="8"/>
      <c r="J23" s="8"/>
      <c r="K23" s="8"/>
      <c r="L23" s="4"/>
    </row>
    <row r="24" spans="1:16" x14ac:dyDescent="0.2">
      <c r="A24" s="1" t="s">
        <v>327</v>
      </c>
      <c r="C24" s="2" t="s">
        <v>309</v>
      </c>
      <c r="D24" s="33">
        <f>+$C$7/2.2</f>
        <v>27.27272727272727</v>
      </c>
      <c r="E24" s="1" t="s">
        <v>311</v>
      </c>
      <c r="F24" s="8"/>
      <c r="G24" s="8"/>
      <c r="H24" s="8"/>
      <c r="I24" s="8"/>
      <c r="J24" s="8"/>
      <c r="K24" s="8"/>
      <c r="L24" s="4"/>
    </row>
    <row r="25" spans="1:16" x14ac:dyDescent="0.2">
      <c r="A25" s="6"/>
      <c r="B25" s="6"/>
      <c r="C25" s="9"/>
      <c r="D25" s="7"/>
      <c r="E25" s="6"/>
      <c r="F25" s="8"/>
      <c r="G25" s="8"/>
      <c r="H25" s="8"/>
      <c r="I25" s="8"/>
      <c r="J25" s="8"/>
      <c r="K25" s="8"/>
      <c r="L25" s="4"/>
      <c r="M25" s="6"/>
    </row>
    <row r="26" spans="1:16" x14ac:dyDescent="0.2">
      <c r="A26" s="1" t="s">
        <v>328</v>
      </c>
      <c r="C26" s="2" t="s">
        <v>314</v>
      </c>
      <c r="D26" s="33">
        <f>+$C$9</f>
        <v>0</v>
      </c>
      <c r="E26" s="1" t="s">
        <v>360</v>
      </c>
      <c r="F26" s="8"/>
      <c r="G26" s="8"/>
      <c r="H26" s="8"/>
      <c r="I26" s="8"/>
      <c r="J26" s="8"/>
      <c r="K26" s="6"/>
      <c r="L26" s="8"/>
      <c r="M26" s="6"/>
    </row>
    <row r="27" spans="1:16" x14ac:dyDescent="0.2">
      <c r="A27" s="1" t="s">
        <v>353</v>
      </c>
      <c r="C27" s="2"/>
      <c r="D27" s="419">
        <v>0.75</v>
      </c>
      <c r="F27" s="443" t="s">
        <v>902</v>
      </c>
      <c r="G27" s="8"/>
      <c r="H27" s="8"/>
      <c r="I27" s="8"/>
      <c r="J27" s="8"/>
      <c r="K27" s="6"/>
      <c r="L27" s="4"/>
      <c r="M27" s="6"/>
    </row>
    <row r="28" spans="1:16" x14ac:dyDescent="0.2">
      <c r="A28" s="1" t="s">
        <v>329</v>
      </c>
      <c r="C28" s="2" t="s">
        <v>316</v>
      </c>
      <c r="D28" s="33">
        <f>+$C$10</f>
        <v>0.3</v>
      </c>
      <c r="F28" s="8"/>
      <c r="G28" s="8"/>
      <c r="H28" s="8"/>
      <c r="I28" s="8"/>
      <c r="J28" s="8"/>
      <c r="K28" s="6"/>
      <c r="L28" s="8"/>
      <c r="M28" s="6"/>
    </row>
    <row r="29" spans="1:16" x14ac:dyDescent="0.2">
      <c r="F29" s="6"/>
      <c r="G29" s="6"/>
      <c r="H29" s="6"/>
      <c r="I29" s="6"/>
      <c r="J29" s="7"/>
      <c r="L29" s="8"/>
      <c r="M29" s="6"/>
    </row>
    <row r="30" spans="1:16" ht="15.75" x14ac:dyDescent="0.25">
      <c r="A30" s="5" t="s">
        <v>335</v>
      </c>
      <c r="C30" s="2"/>
      <c r="D30" s="2"/>
      <c r="F30" s="40" t="s">
        <v>330</v>
      </c>
      <c r="H30" s="11" t="s">
        <v>319</v>
      </c>
      <c r="I30" s="10" t="s">
        <v>346</v>
      </c>
      <c r="J30" s="36">
        <f>D18/((D21/1000)*PI())</f>
        <v>111.94849972700983</v>
      </c>
      <c r="K30" s="10" t="s">
        <v>331</v>
      </c>
    </row>
    <row r="31" spans="1:16" x14ac:dyDescent="0.2">
      <c r="A31" s="1" t="s">
        <v>337</v>
      </c>
      <c r="B31" s="6"/>
      <c r="C31" s="2"/>
      <c r="D31" s="12">
        <v>0.3</v>
      </c>
      <c r="J31" s="3"/>
      <c r="P31" s="39" t="s">
        <v>361</v>
      </c>
    </row>
    <row r="32" spans="1:16" x14ac:dyDescent="0.2">
      <c r="A32" s="1" t="s">
        <v>336</v>
      </c>
      <c r="C32" s="2"/>
      <c r="D32" s="12">
        <v>0.6</v>
      </c>
      <c r="F32" s="940" t="s">
        <v>332</v>
      </c>
      <c r="G32" s="940"/>
      <c r="H32" s="10" t="s">
        <v>312</v>
      </c>
      <c r="I32" s="10" t="s">
        <v>313</v>
      </c>
      <c r="J32" s="25">
        <f>((D24+J21)*9.81)*(COS(D26*PI()/180))*D28</f>
        <v>136.67411860363634</v>
      </c>
      <c r="K32" s="10" t="s">
        <v>349</v>
      </c>
      <c r="L32" s="23">
        <f>+J32*0.2248089</f>
        <v>30.725558261753022</v>
      </c>
      <c r="M32" s="6"/>
      <c r="N32" s="25">
        <f>+J32</f>
        <v>136.67411860363634</v>
      </c>
      <c r="P32" s="23">
        <f>+N32*0.2248089</f>
        <v>30.725558261753022</v>
      </c>
    </row>
    <row r="33" spans="1:16" x14ac:dyDescent="0.2">
      <c r="A33" s="1" t="s">
        <v>339</v>
      </c>
      <c r="B33" s="6"/>
      <c r="C33" s="6"/>
      <c r="D33" s="12">
        <v>0.7</v>
      </c>
      <c r="E33" s="3"/>
      <c r="F33" s="940" t="s">
        <v>333</v>
      </c>
      <c r="G33" s="940"/>
      <c r="H33" s="10" t="s">
        <v>315</v>
      </c>
      <c r="I33" s="10" t="s">
        <v>313</v>
      </c>
      <c r="J33" s="26">
        <f>D24*9.81*(SIN(D26*PI()/180))</f>
        <v>0</v>
      </c>
      <c r="K33" s="10" t="s">
        <v>349</v>
      </c>
      <c r="L33" s="23">
        <f>+J33*0.2248089</f>
        <v>0</v>
      </c>
      <c r="M33" s="6"/>
      <c r="N33" s="26">
        <f>+J33</f>
        <v>0</v>
      </c>
      <c r="P33" s="23">
        <f>+N33*0.2248089</f>
        <v>0</v>
      </c>
    </row>
    <row r="34" spans="1:16" x14ac:dyDescent="0.2">
      <c r="A34" s="1" t="s">
        <v>338</v>
      </c>
      <c r="C34" s="2"/>
      <c r="D34" s="13">
        <v>1</v>
      </c>
      <c r="E34" s="3"/>
      <c r="F34" s="940" t="s">
        <v>383</v>
      </c>
      <c r="G34" s="940"/>
      <c r="H34" s="10" t="s">
        <v>384</v>
      </c>
      <c r="I34" s="10" t="s">
        <v>313</v>
      </c>
      <c r="J34" s="42"/>
      <c r="K34" s="10" t="s">
        <v>349</v>
      </c>
      <c r="N34" s="27">
        <f>(D24*9.81)*(COS(D26*PI()/180))*0.5</f>
        <v>133.77272727272725</v>
      </c>
    </row>
    <row r="35" spans="1:16" x14ac:dyDescent="0.2">
      <c r="A35" s="1" t="s">
        <v>340</v>
      </c>
      <c r="B35" s="6"/>
      <c r="C35" s="6"/>
      <c r="D35" s="13">
        <v>1.4</v>
      </c>
      <c r="E35" s="3"/>
      <c r="F35" s="940" t="s">
        <v>334</v>
      </c>
      <c r="G35" s="940"/>
      <c r="H35" s="10" t="s">
        <v>375</v>
      </c>
      <c r="I35" s="10" t="s">
        <v>313</v>
      </c>
      <c r="J35" s="38">
        <f>J32+J33</f>
        <v>136.67411860363634</v>
      </c>
      <c r="K35" s="10" t="s">
        <v>349</v>
      </c>
      <c r="L35" s="24">
        <f>+J35*0.2248089</f>
        <v>30.725558261753022</v>
      </c>
      <c r="M35" s="6"/>
      <c r="N35" s="27">
        <f>SUM(N32:N34)</f>
        <v>270.44684587636357</v>
      </c>
      <c r="P35" s="24">
        <f>+N35*0.2248089</f>
        <v>60.798857929934833</v>
      </c>
    </row>
    <row r="36" spans="1:16" x14ac:dyDescent="0.2">
      <c r="A36" s="1" t="s">
        <v>341</v>
      </c>
      <c r="C36" s="2"/>
      <c r="D36" s="13">
        <v>0.5</v>
      </c>
      <c r="E36" s="3"/>
      <c r="J36" s="3"/>
    </row>
    <row r="37" spans="1:16" x14ac:dyDescent="0.2">
      <c r="A37" s="1" t="s">
        <v>342</v>
      </c>
      <c r="B37" s="6"/>
      <c r="C37" s="6"/>
      <c r="D37" s="13">
        <v>0.8</v>
      </c>
      <c r="E37" s="6"/>
      <c r="F37" s="40" t="s">
        <v>379</v>
      </c>
      <c r="I37" s="10"/>
      <c r="J37" s="25">
        <f>+J35*D18/60</f>
        <v>41.658777921127879</v>
      </c>
      <c r="N37" s="25">
        <f>+N35*D18/60</f>
        <v>82.433201010839909</v>
      </c>
    </row>
    <row r="38" spans="1:16" x14ac:dyDescent="0.2">
      <c r="A38" s="1" t="s">
        <v>343</v>
      </c>
      <c r="B38" s="6"/>
      <c r="C38" s="6"/>
      <c r="D38" s="13">
        <v>1</v>
      </c>
      <c r="E38" s="6"/>
      <c r="F38" s="940" t="s">
        <v>376</v>
      </c>
      <c r="G38" s="940"/>
      <c r="H38" s="940"/>
      <c r="J38" s="26">
        <f>+J37/D22</f>
        <v>49.0103269660328</v>
      </c>
      <c r="N38" s="26">
        <f>+N37/D22</f>
        <v>96.980236483341073</v>
      </c>
    </row>
    <row r="39" spans="1:16" x14ac:dyDescent="0.2">
      <c r="A39" s="1" t="s">
        <v>344</v>
      </c>
      <c r="B39" s="6"/>
      <c r="C39" s="6"/>
      <c r="D39" s="14">
        <v>0.22</v>
      </c>
      <c r="E39" s="3"/>
      <c r="F39" s="940" t="s">
        <v>378</v>
      </c>
      <c r="G39" s="940"/>
      <c r="H39" s="940"/>
      <c r="J39" s="26">
        <f>+J38/D27</f>
        <v>65.347102621377061</v>
      </c>
      <c r="N39" s="26">
        <f>+N38/D27</f>
        <v>129.3069819777881</v>
      </c>
    </row>
    <row r="40" spans="1:16" x14ac:dyDescent="0.2">
      <c r="A40" s="1" t="s">
        <v>345</v>
      </c>
      <c r="B40" s="6"/>
      <c r="C40" s="6"/>
      <c r="D40" s="15">
        <v>5.0000000000000001E-3</v>
      </c>
      <c r="E40" s="6"/>
      <c r="F40" s="940" t="s">
        <v>377</v>
      </c>
      <c r="G40" s="940"/>
      <c r="H40" s="940"/>
      <c r="J40" s="26">
        <f>+J39*D23</f>
        <v>81.68387827672133</v>
      </c>
      <c r="N40" s="27">
        <f>+N39*D23</f>
        <v>161.63372747223514</v>
      </c>
    </row>
    <row r="41" spans="1:16" x14ac:dyDescent="0.2">
      <c r="A41" s="1" t="s">
        <v>823</v>
      </c>
      <c r="B41" s="6"/>
      <c r="C41" s="6"/>
      <c r="D41" s="12">
        <v>0.7</v>
      </c>
      <c r="E41" s="6"/>
      <c r="F41" s="940" t="s">
        <v>348</v>
      </c>
      <c r="G41" s="940"/>
      <c r="H41" s="10" t="s">
        <v>317</v>
      </c>
      <c r="I41" s="10" t="s">
        <v>318</v>
      </c>
      <c r="J41" s="38">
        <f>+J40</f>
        <v>81.68387827672133</v>
      </c>
      <c r="K41" s="10" t="s">
        <v>350</v>
      </c>
      <c r="L41" s="24">
        <f>+J41*0.001341022</f>
        <v>0.1095398778144054</v>
      </c>
      <c r="M41" s="6"/>
      <c r="N41" s="23">
        <f>+N40</f>
        <v>161.63372747223514</v>
      </c>
      <c r="P41" s="24">
        <f>+N41*0.001341022</f>
        <v>0.21675438448227172</v>
      </c>
    </row>
    <row r="42" spans="1:16" x14ac:dyDescent="0.2">
      <c r="A42" s="1" t="s">
        <v>824</v>
      </c>
      <c r="C42" s="2"/>
      <c r="D42" s="13">
        <v>1</v>
      </c>
      <c r="J42" s="3"/>
    </row>
    <row r="43" spans="1:16" x14ac:dyDescent="0.2">
      <c r="A43" s="1" t="s">
        <v>825</v>
      </c>
      <c r="B43" s="6"/>
      <c r="C43" s="6"/>
      <c r="D43" s="13">
        <v>1.4</v>
      </c>
      <c r="F43" s="40" t="s">
        <v>380</v>
      </c>
      <c r="J43" s="3"/>
    </row>
    <row r="44" spans="1:16" x14ac:dyDescent="0.2">
      <c r="F44" s="940" t="s">
        <v>381</v>
      </c>
      <c r="G44" s="940"/>
      <c r="H44" s="940"/>
      <c r="I44" s="10" t="s">
        <v>321</v>
      </c>
      <c r="J44" s="25">
        <f>+J35*D21/2000</f>
        <v>3.553527083694545</v>
      </c>
      <c r="N44" s="25">
        <f>+N35*D21/2000</f>
        <v>7.0316179927854527</v>
      </c>
    </row>
    <row r="45" spans="1:16" x14ac:dyDescent="0.2">
      <c r="F45" s="940" t="s">
        <v>382</v>
      </c>
      <c r="G45" s="940"/>
      <c r="H45" s="940"/>
      <c r="I45" s="10"/>
      <c r="J45" s="26">
        <f>+J44/D22</f>
        <v>4.1806200984641704</v>
      </c>
      <c r="N45" s="26">
        <f>+N44/D22</f>
        <v>8.2724917562181801</v>
      </c>
    </row>
    <row r="46" spans="1:16" x14ac:dyDescent="0.2">
      <c r="F46" s="940" t="s">
        <v>378</v>
      </c>
      <c r="G46" s="940"/>
      <c r="H46" s="940"/>
      <c r="J46" s="26">
        <f>+J45/D27</f>
        <v>5.5741601312855602</v>
      </c>
      <c r="N46" s="26">
        <f>+N45/D27</f>
        <v>11.029989008290906</v>
      </c>
    </row>
    <row r="47" spans="1:16" x14ac:dyDescent="0.2">
      <c r="F47" s="940" t="s">
        <v>377</v>
      </c>
      <c r="G47" s="940"/>
      <c r="H47" s="940"/>
      <c r="J47" s="26">
        <f>+J46*D23</f>
        <v>6.96770016410695</v>
      </c>
      <c r="N47" s="26">
        <f>+N46*D23</f>
        <v>13.787486260363632</v>
      </c>
    </row>
    <row r="48" spans="1:16" ht="15.75" x14ac:dyDescent="0.25">
      <c r="F48" s="940" t="s">
        <v>351</v>
      </c>
      <c r="G48" s="940"/>
      <c r="H48" s="11" t="s">
        <v>320</v>
      </c>
      <c r="I48" s="10" t="s">
        <v>321</v>
      </c>
      <c r="J48" s="38">
        <f>+J47</f>
        <v>6.96770016410695</v>
      </c>
      <c r="K48" s="10" t="s">
        <v>352</v>
      </c>
      <c r="L48" s="24">
        <f>+J48*8.850748</f>
        <v>61.669358292069255</v>
      </c>
      <c r="M48" s="6"/>
      <c r="N48" s="23">
        <f>+N47</f>
        <v>13.787486260363632</v>
      </c>
      <c r="P48" s="24">
        <f>+N48*8.850748</f>
        <v>122.02956644394089</v>
      </c>
    </row>
  </sheetData>
  <mergeCells count="25">
    <mergeCell ref="F41:G41"/>
    <mergeCell ref="F48:G48"/>
    <mergeCell ref="F47:H47"/>
    <mergeCell ref="F46:H46"/>
    <mergeCell ref="F45:H45"/>
    <mergeCell ref="F44:H44"/>
    <mergeCell ref="F40:H40"/>
    <mergeCell ref="F39:H39"/>
    <mergeCell ref="F38:H38"/>
    <mergeCell ref="F34:G34"/>
    <mergeCell ref="A5:B5"/>
    <mergeCell ref="A9:B9"/>
    <mergeCell ref="A11:B11"/>
    <mergeCell ref="F35:G35"/>
    <mergeCell ref="F33:G33"/>
    <mergeCell ref="F32:G32"/>
    <mergeCell ref="A4:B4"/>
    <mergeCell ref="I19:J19"/>
    <mergeCell ref="A8:B8"/>
    <mergeCell ref="A7:B7"/>
    <mergeCell ref="A6:B6"/>
    <mergeCell ref="A10:B10"/>
    <mergeCell ref="C13:D13"/>
    <mergeCell ref="A13:B13"/>
    <mergeCell ref="A14:B14"/>
  </mergeCells>
  <phoneticPr fontId="7" type="noConversion"/>
  <dataValidations count="5">
    <dataValidation promptTitle="Friction" prompt="0.3 for Standard Head Drive_x000a_0.7 with Tail 17" sqref="C10" xr:uid="{00000000-0002-0000-1000-000000000000}"/>
    <dataValidation allowBlank="1" showErrorMessage="1" promptTitle="Incline Angle" prompt="Enter negative number for decline" sqref="C9" xr:uid="{00000000-0002-0000-1000-000001000000}"/>
    <dataValidation showInputMessage="1" showErrorMessage="1" sqref="C4" xr:uid="{00000000-0002-0000-1000-000002000000}"/>
    <dataValidation promptTitle="Accumulation" prompt="Yes / No" sqref="C11" xr:uid="{00000000-0002-0000-1000-000003000000}"/>
    <dataValidation allowBlank="1" showErrorMessage="1" promptTitle="Drum Diameter" prompt="52 for GUF-P 2000_x000a_Others for mini" sqref="C8" xr:uid="{00000000-0002-0000-1000-000004000000}"/>
  </dataValidations>
  <pageMargins left="0.75" right="0.75" top="1" bottom="1" header="0.5" footer="0.5"/>
  <pageSetup scale="68" orientation="portrait" r:id="rId1"/>
  <headerFooter alignWithMargins="0">
    <oddFooter>&amp;L&amp;Z&amp;F&amp;R&amp;D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9">
    <tabColor indexed="10"/>
  </sheetPr>
  <dimension ref="A1:T89"/>
  <sheetViews>
    <sheetView topLeftCell="A31" workbookViewId="0">
      <selection activeCell="O56" sqref="O56"/>
    </sheetView>
  </sheetViews>
  <sheetFormatPr defaultColWidth="8.85546875" defaultRowHeight="12.75" x14ac:dyDescent="0.2"/>
  <cols>
    <col min="1" max="1" width="12" style="111" bestFit="1" customWidth="1"/>
    <col min="2" max="2" width="11.42578125" style="111" bestFit="1" customWidth="1"/>
    <col min="3" max="3" width="8.5703125" style="111" bestFit="1" customWidth="1"/>
    <col min="4" max="4" width="6.42578125" style="111" bestFit="1" customWidth="1"/>
    <col min="5" max="5" width="4.28515625" style="111" bestFit="1" customWidth="1"/>
    <col min="6" max="6" width="7.42578125" style="111" bestFit="1" customWidth="1"/>
    <col min="7" max="7" width="6" style="111" bestFit="1" customWidth="1"/>
    <col min="8" max="8" width="11.42578125" style="111" bestFit="1" customWidth="1"/>
    <col min="9" max="9" width="10.140625" style="111" bestFit="1" customWidth="1"/>
    <col min="10" max="10" width="11.5703125" style="111" bestFit="1" customWidth="1"/>
    <col min="11" max="11" width="11.42578125" style="273" bestFit="1" customWidth="1"/>
    <col min="12" max="12" width="10.140625" style="111" bestFit="1" customWidth="1"/>
    <col min="13" max="13" width="11.7109375" style="111" bestFit="1" customWidth="1"/>
    <col min="14" max="14" width="13.7109375" style="111" bestFit="1" customWidth="1"/>
    <col min="15" max="15" width="11.42578125" style="111" bestFit="1" customWidth="1"/>
    <col min="16" max="19" width="10.140625" style="111" bestFit="1" customWidth="1"/>
    <col min="20" max="16384" width="8.85546875" style="111"/>
  </cols>
  <sheetData>
    <row r="1" spans="1:15" x14ac:dyDescent="0.2">
      <c r="A1" s="39" t="s">
        <v>1100</v>
      </c>
      <c r="B1" s="297"/>
      <c r="C1" s="297"/>
    </row>
    <row r="2" spans="1:15" x14ac:dyDescent="0.2">
      <c r="A2" s="117" t="s">
        <v>568</v>
      </c>
      <c r="B2" s="96">
        <f>+p0q1</f>
        <v>3352.8</v>
      </c>
      <c r="C2" s="50" t="s">
        <v>569</v>
      </c>
    </row>
    <row r="3" spans="1:15" x14ac:dyDescent="0.2">
      <c r="A3" s="117" t="s">
        <v>1096</v>
      </c>
      <c r="B3" s="96" t="str">
        <f>+quote59</f>
        <v>AC</v>
      </c>
      <c r="C3" s="50" t="s">
        <v>1158</v>
      </c>
    </row>
    <row r="4" spans="1:15" x14ac:dyDescent="0.2">
      <c r="A4" s="303" t="s">
        <v>1152</v>
      </c>
      <c r="B4" s="96" t="s">
        <v>656</v>
      </c>
      <c r="C4" s="50" t="s">
        <v>611</v>
      </c>
      <c r="D4" s="111" t="s">
        <v>1167</v>
      </c>
      <c r="E4" s="96" t="str">
        <f>+quote63</f>
        <v>Y</v>
      </c>
      <c r="F4" s="50" t="s">
        <v>1168</v>
      </c>
    </row>
    <row r="5" spans="1:15" x14ac:dyDescent="0.2">
      <c r="A5" s="117" t="s">
        <v>1161</v>
      </c>
      <c r="B5" s="96" t="str">
        <f>+quote62</f>
        <v>AC</v>
      </c>
      <c r="C5" s="50" t="s">
        <v>1166</v>
      </c>
      <c r="D5" s="111" t="s">
        <v>1167</v>
      </c>
      <c r="E5" s="96" t="str">
        <f>+quote64</f>
        <v>N</v>
      </c>
      <c r="F5" s="50" t="s">
        <v>1169</v>
      </c>
    </row>
    <row r="7" spans="1:15" x14ac:dyDescent="0.2">
      <c r="A7" s="39" t="s">
        <v>725</v>
      </c>
      <c r="B7" s="297"/>
      <c r="C7" s="297"/>
    </row>
    <row r="8" spans="1:15" x14ac:dyDescent="0.2">
      <c r="A8" s="117" t="s">
        <v>638</v>
      </c>
      <c r="B8" s="96" t="str">
        <f>+quote8</f>
        <v>HSF03</v>
      </c>
      <c r="C8" s="50" t="s">
        <v>601</v>
      </c>
    </row>
    <row r="9" spans="1:15" x14ac:dyDescent="0.2">
      <c r="A9" s="117" t="s">
        <v>604</v>
      </c>
      <c r="B9" s="96">
        <f>+quote74</f>
        <v>21</v>
      </c>
      <c r="C9" s="50" t="s">
        <v>1336</v>
      </c>
    </row>
    <row r="10" spans="1:15" x14ac:dyDescent="0.2">
      <c r="A10" s="117" t="s">
        <v>596</v>
      </c>
      <c r="B10" s="96">
        <v>2</v>
      </c>
      <c r="C10" s="50" t="s">
        <v>1236</v>
      </c>
    </row>
    <row r="11" spans="1:15" x14ac:dyDescent="0.2">
      <c r="A11" s="117" t="s">
        <v>1159</v>
      </c>
      <c r="B11" s="96">
        <f>+quote61</f>
        <v>3352.8</v>
      </c>
      <c r="C11" s="50" t="s">
        <v>1160</v>
      </c>
    </row>
    <row r="12" spans="1:15" x14ac:dyDescent="0.2">
      <c r="A12" s="117" t="s">
        <v>653</v>
      </c>
      <c r="B12" s="96">
        <f>+quote7</f>
        <v>0</v>
      </c>
      <c r="C12" s="50" t="s">
        <v>603</v>
      </c>
    </row>
    <row r="13" spans="1:15" x14ac:dyDescent="0.2">
      <c r="A13" s="297"/>
      <c r="B13" s="298"/>
      <c r="C13" s="298"/>
    </row>
    <row r="14" spans="1:15" ht="15" x14ac:dyDescent="0.2">
      <c r="A14" s="304" t="s">
        <v>530</v>
      </c>
      <c r="B14" s="304" t="s">
        <v>1162</v>
      </c>
      <c r="C14" s="297"/>
      <c r="D14" s="117" t="s">
        <v>568</v>
      </c>
      <c r="E14" s="943" t="s">
        <v>1141</v>
      </c>
      <c r="F14" s="943"/>
      <c r="G14" s="943"/>
      <c r="H14" s="301">
        <f>INDEX(E15:E24,MATCH(quote61,D15:D24,-1),1)*quote70</f>
        <v>12</v>
      </c>
      <c r="J14" s="280" t="s">
        <v>787</v>
      </c>
      <c r="K14" s="280" t="s">
        <v>1144</v>
      </c>
      <c r="O14" s="93" t="str">
        <f>IF(OR(quote8="SF2.1",quote8="SF2.2"),VLOOKUP(1,J15:L17,3,FALSE)," ")</f>
        <v xml:space="preserve"> </v>
      </c>
    </row>
    <row r="15" spans="1:15" x14ac:dyDescent="0.2">
      <c r="A15" s="304" t="s">
        <v>531</v>
      </c>
      <c r="B15" s="304" t="s">
        <v>1163</v>
      </c>
      <c r="C15" s="297"/>
      <c r="D15" s="191">
        <v>12000</v>
      </c>
      <c r="E15" s="300">
        <v>20</v>
      </c>
      <c r="J15" s="280">
        <f>IF(AND(OR(quote8="SF2.1",quote8="SF2.2"),quote7=K15),1,0)</f>
        <v>0</v>
      </c>
      <c r="K15" s="280">
        <v>25</v>
      </c>
      <c r="L15" s="267" t="s">
        <v>1145</v>
      </c>
      <c r="N15" s="288" t="s">
        <v>1130</v>
      </c>
      <c r="O15" s="93">
        <f>IF(OR(quote8="SF2.1",quote8="SF2.2"),+H14,0)</f>
        <v>0</v>
      </c>
    </row>
    <row r="16" spans="1:15" x14ac:dyDescent="0.2">
      <c r="A16" s="297"/>
      <c r="B16" s="297"/>
      <c r="C16" s="297"/>
      <c r="D16" s="191">
        <v>10800</v>
      </c>
      <c r="E16" s="117">
        <v>18</v>
      </c>
      <c r="J16" s="280">
        <f>IF(AND(OR(quote8="SF2.1",quote8="SF2.2"),quote7=K16),1,0)</f>
        <v>0</v>
      </c>
      <c r="K16" s="280">
        <v>50</v>
      </c>
      <c r="L16" s="267" t="s">
        <v>1146</v>
      </c>
    </row>
    <row r="17" spans="1:15" x14ac:dyDescent="0.2">
      <c r="A17" s="297"/>
      <c r="B17" s="297"/>
      <c r="C17" s="297"/>
      <c r="D17" s="191">
        <v>9600</v>
      </c>
      <c r="E17" s="117">
        <v>16</v>
      </c>
      <c r="J17" s="280">
        <f>IF(AND(OR(quote8="SF2.1",quote8="SF2.2"),quote7=K17),1,0)</f>
        <v>0</v>
      </c>
      <c r="K17" s="280">
        <v>75</v>
      </c>
      <c r="L17" s="267" t="s">
        <v>1146</v>
      </c>
      <c r="O17" s="93" t="str">
        <f>IF(OR(quote8="SF2.1",quote8="SF2.2"),"0700BK1219"," ")</f>
        <v xml:space="preserve"> </v>
      </c>
    </row>
    <row r="18" spans="1:15" x14ac:dyDescent="0.2">
      <c r="A18" s="297"/>
      <c r="B18" s="297"/>
      <c r="C18" s="297"/>
      <c r="D18" s="191">
        <v>8400</v>
      </c>
      <c r="E18" s="117">
        <v>14</v>
      </c>
      <c r="N18" s="288" t="s">
        <v>1130</v>
      </c>
      <c r="O18" s="93">
        <v>0</v>
      </c>
    </row>
    <row r="19" spans="1:15" x14ac:dyDescent="0.2">
      <c r="A19" s="297"/>
      <c r="B19" s="297"/>
      <c r="C19" s="297"/>
      <c r="D19" s="191">
        <v>7200</v>
      </c>
      <c r="E19" s="117">
        <v>12</v>
      </c>
    </row>
    <row r="20" spans="1:15" x14ac:dyDescent="0.2">
      <c r="A20" s="297"/>
      <c r="B20" s="297"/>
      <c r="C20" s="297"/>
      <c r="D20" s="191">
        <v>6000</v>
      </c>
      <c r="E20" s="117">
        <v>10</v>
      </c>
    </row>
    <row r="21" spans="1:15" x14ac:dyDescent="0.2">
      <c r="A21" s="297"/>
      <c r="B21" s="297"/>
      <c r="C21" s="297"/>
      <c r="D21" s="191">
        <v>4800</v>
      </c>
      <c r="E21" s="117">
        <v>8</v>
      </c>
    </row>
    <row r="22" spans="1:15" x14ac:dyDescent="0.2">
      <c r="A22" s="297"/>
      <c r="B22" s="297"/>
      <c r="C22" s="297"/>
      <c r="D22" s="191">
        <v>3600</v>
      </c>
      <c r="E22" s="117">
        <v>6</v>
      </c>
    </row>
    <row r="23" spans="1:15" x14ac:dyDescent="0.2">
      <c r="A23" s="297"/>
      <c r="B23" s="297"/>
      <c r="C23" s="297"/>
      <c r="D23" s="191">
        <v>2400</v>
      </c>
      <c r="E23" s="117">
        <v>4</v>
      </c>
    </row>
    <row r="24" spans="1:15" x14ac:dyDescent="0.2">
      <c r="A24" s="297"/>
      <c r="B24" s="297"/>
      <c r="C24" s="297"/>
      <c r="D24" s="191">
        <v>1200</v>
      </c>
      <c r="E24" s="117">
        <v>2</v>
      </c>
    </row>
    <row r="25" spans="1:15" x14ac:dyDescent="0.2">
      <c r="B25" s="297"/>
      <c r="C25" s="297"/>
    </row>
    <row r="26" spans="1:15" ht="15" x14ac:dyDescent="0.2">
      <c r="A26" s="302" t="s">
        <v>532</v>
      </c>
      <c r="B26" s="304" t="s">
        <v>1164</v>
      </c>
      <c r="C26" s="297"/>
      <c r="D26" s="117" t="s">
        <v>568</v>
      </c>
      <c r="E26" s="943" t="s">
        <v>1141</v>
      </c>
      <c r="F26" s="943"/>
      <c r="G26" s="943"/>
      <c r="H26" s="301">
        <f>INDEX(E27:E31,MATCH(quote61,D27:D31,-1),1)*quote70</f>
        <v>6</v>
      </c>
      <c r="J26" s="280" t="s">
        <v>787</v>
      </c>
      <c r="K26" s="280" t="s">
        <v>1144</v>
      </c>
      <c r="O26" s="93" t="str">
        <f>IF(quote8="SF7.1","30.00.0070"," ")</f>
        <v xml:space="preserve"> </v>
      </c>
    </row>
    <row r="27" spans="1:15" x14ac:dyDescent="0.2">
      <c r="A27" s="297"/>
      <c r="B27" s="297"/>
      <c r="C27" s="297"/>
      <c r="D27" s="191">
        <v>10000</v>
      </c>
      <c r="E27" s="300">
        <v>6</v>
      </c>
      <c r="J27" s="280">
        <f>IF(AND(quote8="SF7.1",quote7=K27),1,0)</f>
        <v>0</v>
      </c>
      <c r="K27" s="280">
        <v>25</v>
      </c>
      <c r="L27" s="267" t="s">
        <v>1149</v>
      </c>
      <c r="N27" s="288" t="s">
        <v>1130</v>
      </c>
      <c r="O27" s="93">
        <f>IF(quote8="SF7.1",+H26,0)</f>
        <v>0</v>
      </c>
    </row>
    <row r="28" spans="1:15" x14ac:dyDescent="0.2">
      <c r="A28" s="297"/>
      <c r="B28" s="297"/>
      <c r="C28" s="297"/>
      <c r="D28" s="191">
        <v>8000</v>
      </c>
      <c r="E28" s="117">
        <v>5</v>
      </c>
      <c r="J28" s="280">
        <f>IF(AND(quote8="SF7.1",quote7=K28),1,0)</f>
        <v>0</v>
      </c>
      <c r="K28" s="280">
        <v>50</v>
      </c>
      <c r="L28" s="267" t="s">
        <v>1147</v>
      </c>
    </row>
    <row r="29" spans="1:15" x14ac:dyDescent="0.2">
      <c r="A29" s="297"/>
      <c r="B29" s="297"/>
      <c r="C29" s="297"/>
      <c r="D29" s="191">
        <v>6000</v>
      </c>
      <c r="E29" s="117">
        <v>4</v>
      </c>
      <c r="J29" s="280">
        <f>IF(AND(quote8="SF7.1",quote7=K29),1,0)</f>
        <v>0</v>
      </c>
      <c r="K29" s="280">
        <v>75</v>
      </c>
      <c r="L29" s="267" t="s">
        <v>1148</v>
      </c>
      <c r="O29" s="93" t="str">
        <f>IF(quote8="SF7.1",VLOOKUP(quote7,K27:L29,2,FALSE)," ")</f>
        <v xml:space="preserve"> </v>
      </c>
    </row>
    <row r="30" spans="1:15" x14ac:dyDescent="0.2">
      <c r="A30" s="297"/>
      <c r="B30" s="297"/>
      <c r="C30" s="297"/>
      <c r="D30" s="191">
        <v>4000</v>
      </c>
      <c r="E30" s="117">
        <v>3</v>
      </c>
      <c r="N30" s="288" t="s">
        <v>1130</v>
      </c>
      <c r="O30" s="93">
        <f>IF(quote8="SF7.1",+quote70,0)</f>
        <v>0</v>
      </c>
    </row>
    <row r="31" spans="1:15" x14ac:dyDescent="0.2">
      <c r="A31" s="297"/>
      <c r="B31" s="297"/>
      <c r="C31" s="297"/>
      <c r="D31" s="191">
        <v>2000</v>
      </c>
      <c r="E31" s="117">
        <v>2</v>
      </c>
    </row>
    <row r="32" spans="1:15" x14ac:dyDescent="0.2">
      <c r="A32" s="297"/>
      <c r="B32" s="297"/>
      <c r="C32" s="297"/>
      <c r="O32" s="96" t="s">
        <v>1156</v>
      </c>
    </row>
    <row r="33" spans="1:16" x14ac:dyDescent="0.2">
      <c r="A33" s="297"/>
      <c r="B33" s="297"/>
      <c r="C33" s="297"/>
      <c r="F33" s="927" t="s">
        <v>1155</v>
      </c>
      <c r="G33" s="927"/>
      <c r="N33" s="288" t="s">
        <v>1151</v>
      </c>
      <c r="O33" s="306">
        <v>0</v>
      </c>
    </row>
    <row r="34" spans="1:16" x14ac:dyDescent="0.2">
      <c r="A34" s="297"/>
      <c r="B34" s="297"/>
      <c r="C34" s="297"/>
      <c r="E34" s="117" t="s">
        <v>450</v>
      </c>
      <c r="F34" s="117" t="s">
        <v>1153</v>
      </c>
      <c r="G34" s="117" t="s">
        <v>1154</v>
      </c>
      <c r="O34" s="96" t="s">
        <v>1157</v>
      </c>
    </row>
    <row r="35" spans="1:16" x14ac:dyDescent="0.2">
      <c r="A35" s="297"/>
      <c r="B35" s="297"/>
      <c r="C35" s="297"/>
      <c r="E35" s="278" t="s">
        <v>541</v>
      </c>
      <c r="F35" s="117">
        <v>100</v>
      </c>
      <c r="G35" s="117">
        <v>150</v>
      </c>
      <c r="N35" s="288" t="s">
        <v>1150</v>
      </c>
      <c r="O35" s="93">
        <f>IF(quote8="SF7.1",IF(quote64="N",VLOOKUP(quote62,E35:F47,2,FALSE),VLOOKUP(quote62,E35:G40,3,FALSE)),0)</f>
        <v>0</v>
      </c>
    </row>
    <row r="36" spans="1:16" x14ac:dyDescent="0.2">
      <c r="A36" s="297"/>
      <c r="B36" s="297"/>
      <c r="C36" s="297"/>
      <c r="E36" s="278" t="s">
        <v>695</v>
      </c>
      <c r="F36" s="117">
        <v>100</v>
      </c>
      <c r="G36" s="117">
        <v>100</v>
      </c>
    </row>
    <row r="37" spans="1:16" x14ac:dyDescent="0.2">
      <c r="B37" s="297"/>
      <c r="C37" s="297"/>
      <c r="E37" s="278" t="s">
        <v>542</v>
      </c>
      <c r="F37" s="117">
        <v>80</v>
      </c>
      <c r="G37" s="117">
        <v>80</v>
      </c>
      <c r="N37" s="111" t="s">
        <v>819</v>
      </c>
      <c r="O37" s="439">
        <f>IF(AND(quote62="AU",quote104="Above"),+O35*-1,0)</f>
        <v>0</v>
      </c>
      <c r="P37" s="111" t="s">
        <v>820</v>
      </c>
    </row>
    <row r="38" spans="1:16" x14ac:dyDescent="0.2">
      <c r="B38" s="297"/>
      <c r="C38" s="297"/>
      <c r="E38" s="278" t="s">
        <v>656</v>
      </c>
      <c r="F38" s="117">
        <v>100</v>
      </c>
      <c r="G38" s="117">
        <v>150</v>
      </c>
    </row>
    <row r="39" spans="1:16" x14ac:dyDescent="0.2">
      <c r="B39" s="297"/>
      <c r="C39" s="297"/>
      <c r="E39" s="278" t="s">
        <v>710</v>
      </c>
      <c r="F39" s="117">
        <v>100</v>
      </c>
      <c r="G39" s="117">
        <v>100</v>
      </c>
    </row>
    <row r="40" spans="1:16" x14ac:dyDescent="0.2">
      <c r="B40" s="297"/>
      <c r="C40" s="297"/>
      <c r="E40" s="278" t="s">
        <v>711</v>
      </c>
      <c r="F40" s="117">
        <v>100</v>
      </c>
      <c r="G40" s="117">
        <v>100</v>
      </c>
    </row>
    <row r="41" spans="1:16" x14ac:dyDescent="0.2">
      <c r="B41" s="297"/>
      <c r="C41" s="297"/>
      <c r="E41" s="117" t="s">
        <v>697</v>
      </c>
      <c r="F41" s="117">
        <v>100</v>
      </c>
    </row>
    <row r="42" spans="1:16" x14ac:dyDescent="0.2">
      <c r="B42" s="297"/>
      <c r="C42" s="297"/>
      <c r="E42" s="117" t="s">
        <v>698</v>
      </c>
      <c r="F42" s="117">
        <v>150</v>
      </c>
    </row>
    <row r="43" spans="1:16" x14ac:dyDescent="0.2">
      <c r="B43" s="297"/>
      <c r="C43" s="297"/>
      <c r="E43" s="117" t="s">
        <v>699</v>
      </c>
      <c r="F43" s="117">
        <v>100</v>
      </c>
    </row>
    <row r="44" spans="1:16" x14ac:dyDescent="0.2">
      <c r="B44" s="297"/>
      <c r="C44" s="297"/>
      <c r="E44" s="117" t="s">
        <v>691</v>
      </c>
      <c r="F44" s="117">
        <v>475</v>
      </c>
    </row>
    <row r="45" spans="1:16" x14ac:dyDescent="0.2">
      <c r="B45" s="297"/>
      <c r="C45" s="297"/>
      <c r="E45" s="117" t="s">
        <v>702</v>
      </c>
      <c r="F45" s="117">
        <v>255</v>
      </c>
      <c r="G45" s="272" t="s">
        <v>816</v>
      </c>
    </row>
    <row r="46" spans="1:16" x14ac:dyDescent="0.2">
      <c r="E46" s="272" t="s">
        <v>701</v>
      </c>
      <c r="F46" s="117">
        <v>150</v>
      </c>
      <c r="G46" s="117">
        <v>0</v>
      </c>
    </row>
    <row r="47" spans="1:16" x14ac:dyDescent="0.2">
      <c r="E47" s="117" t="s">
        <v>700</v>
      </c>
      <c r="F47" s="117">
        <v>150</v>
      </c>
    </row>
    <row r="48" spans="1:16" ht="13.5" thickBot="1" x14ac:dyDescent="0.25"/>
    <row r="49" spans="1:20" x14ac:dyDescent="0.2">
      <c r="A49" s="761"/>
      <c r="B49" s="762"/>
      <c r="C49" s="762"/>
      <c r="D49" s="762"/>
      <c r="E49" s="762"/>
      <c r="F49" s="762"/>
      <c r="G49" s="762"/>
      <c r="H49" s="762"/>
      <c r="I49" s="762"/>
      <c r="J49" s="762"/>
      <c r="K49" s="763"/>
      <c r="L49" s="762"/>
      <c r="M49" s="762"/>
      <c r="N49" s="762"/>
      <c r="O49" s="762"/>
      <c r="P49" s="762"/>
      <c r="Q49" s="762"/>
      <c r="R49" s="762"/>
      <c r="S49" s="762"/>
      <c r="T49" s="764"/>
    </row>
    <row r="50" spans="1:20" x14ac:dyDescent="0.2">
      <c r="A50" s="765"/>
      <c r="T50" s="766"/>
    </row>
    <row r="51" spans="1:20" x14ac:dyDescent="0.2">
      <c r="A51" s="765" t="s">
        <v>582</v>
      </c>
      <c r="E51" s="96" t="s">
        <v>787</v>
      </c>
      <c r="F51" s="93" t="s">
        <v>638</v>
      </c>
      <c r="G51" s="93" t="s">
        <v>604</v>
      </c>
      <c r="H51" s="50" t="s">
        <v>1170</v>
      </c>
      <c r="I51" s="50" t="s">
        <v>761</v>
      </c>
      <c r="J51" s="955" t="s">
        <v>545</v>
      </c>
      <c r="K51" s="955"/>
      <c r="L51" s="955" t="s">
        <v>544</v>
      </c>
      <c r="M51" s="955"/>
      <c r="N51" s="307" t="s">
        <v>1235</v>
      </c>
      <c r="O51" s="307" t="s">
        <v>1172</v>
      </c>
      <c r="P51" s="50" t="s">
        <v>1173</v>
      </c>
      <c r="Q51" s="50" t="s">
        <v>1233</v>
      </c>
      <c r="R51" s="50" t="s">
        <v>1118</v>
      </c>
      <c r="S51" s="50" t="s">
        <v>1118</v>
      </c>
      <c r="T51" s="766"/>
    </row>
    <row r="52" spans="1:20" x14ac:dyDescent="0.2">
      <c r="A52" s="767" t="s">
        <v>2322</v>
      </c>
      <c r="E52" s="96">
        <f t="shared" ref="E52" si="0">IF(AND(quote8=F52,quote74=G52),1,0)</f>
        <v>0</v>
      </c>
      <c r="F52" s="772" t="s">
        <v>2049</v>
      </c>
      <c r="G52" s="299">
        <v>22</v>
      </c>
      <c r="H52" s="50" t="s">
        <v>1207</v>
      </c>
      <c r="I52" s="50" t="s">
        <v>1208</v>
      </c>
      <c r="J52" s="308" t="s">
        <v>2323</v>
      </c>
      <c r="K52" s="259"/>
      <c r="L52" s="308"/>
      <c r="M52" s="259"/>
      <c r="N52" s="312"/>
      <c r="O52" s="50" t="s">
        <v>1174</v>
      </c>
      <c r="P52" s="50" t="s">
        <v>1174</v>
      </c>
      <c r="R52" s="50"/>
      <c r="S52" s="50"/>
      <c r="T52" s="766"/>
    </row>
    <row r="53" spans="1:20" x14ac:dyDescent="0.2">
      <c r="A53" s="765"/>
      <c r="B53" s="111" t="s">
        <v>1213</v>
      </c>
      <c r="C53" s="124" t="s">
        <v>1214</v>
      </c>
      <c r="T53" s="766"/>
    </row>
    <row r="54" spans="1:20" x14ac:dyDescent="0.2">
      <c r="A54" s="765"/>
      <c r="B54" s="96">
        <f>IF(p0q8="Adjustable",3,0)</f>
        <v>3</v>
      </c>
      <c r="C54" s="50" t="s">
        <v>1215</v>
      </c>
      <c r="T54" s="766"/>
    </row>
    <row r="55" spans="1:20" x14ac:dyDescent="0.2">
      <c r="A55" s="765"/>
      <c r="F55" s="958" t="s">
        <v>787</v>
      </c>
      <c r="G55" s="958"/>
      <c r="K55" s="111"/>
      <c r="T55" s="766"/>
    </row>
    <row r="56" spans="1:20" x14ac:dyDescent="0.2">
      <c r="A56" s="765"/>
      <c r="E56" s="96" t="s">
        <v>787</v>
      </c>
      <c r="F56" s="145" t="s">
        <v>1216</v>
      </c>
      <c r="G56" s="145" t="s">
        <v>1066</v>
      </c>
      <c r="H56" s="96" t="s">
        <v>1066</v>
      </c>
      <c r="I56" s="96" t="s">
        <v>937</v>
      </c>
      <c r="K56" s="111"/>
      <c r="N56" s="288" t="s">
        <v>1130</v>
      </c>
      <c r="O56" s="93">
        <f>IF(RCode&lt;&gt;0,VLOOKUP(1,E57:I66,5,FALSE)*quote70,0)</f>
        <v>6</v>
      </c>
      <c r="T56" s="766"/>
    </row>
    <row r="57" spans="1:20" x14ac:dyDescent="0.2">
      <c r="E57" s="278">
        <f t="shared" ref="E57:E66" si="1">IF(AND(F57=RCode,G57=1),1,0)</f>
        <v>0</v>
      </c>
      <c r="F57" s="282">
        <v>3</v>
      </c>
      <c r="G57" s="284">
        <f t="shared" ref="G57:G66" si="2">IF(H57&gt;=quote61,1,0)</f>
        <v>0</v>
      </c>
      <c r="H57" s="309">
        <v>1000</v>
      </c>
      <c r="I57" s="309">
        <v>2</v>
      </c>
      <c r="K57" s="111"/>
      <c r="T57" s="766"/>
    </row>
    <row r="58" spans="1:20" x14ac:dyDescent="0.2">
      <c r="E58" s="278">
        <f t="shared" si="1"/>
        <v>0</v>
      </c>
      <c r="F58" s="128">
        <v>3</v>
      </c>
      <c r="G58" s="131">
        <f t="shared" si="2"/>
        <v>0</v>
      </c>
      <c r="H58" s="309">
        <f t="shared" ref="H58:H66" si="3">+H57+1000</f>
        <v>2000</v>
      </c>
      <c r="I58" s="309">
        <v>2</v>
      </c>
      <c r="K58" s="111"/>
      <c r="T58" s="766"/>
    </row>
    <row r="59" spans="1:20" x14ac:dyDescent="0.2">
      <c r="E59" s="278">
        <f t="shared" si="1"/>
        <v>0</v>
      </c>
      <c r="F59" s="128">
        <v>3</v>
      </c>
      <c r="G59" s="131">
        <f t="shared" si="2"/>
        <v>0</v>
      </c>
      <c r="H59" s="309">
        <f t="shared" si="3"/>
        <v>3000</v>
      </c>
      <c r="I59" s="309">
        <v>3</v>
      </c>
      <c r="K59" s="111"/>
      <c r="T59" s="766"/>
    </row>
    <row r="60" spans="1:20" x14ac:dyDescent="0.2">
      <c r="A60" s="111">
        <f>+quote61</f>
        <v>3352.8</v>
      </c>
      <c r="B60" s="244" t="s">
        <v>1160</v>
      </c>
      <c r="E60" s="278">
        <f t="shared" si="1"/>
        <v>1</v>
      </c>
      <c r="F60" s="128">
        <v>3</v>
      </c>
      <c r="G60" s="131">
        <f t="shared" si="2"/>
        <v>1</v>
      </c>
      <c r="H60" s="309">
        <f t="shared" si="3"/>
        <v>4000</v>
      </c>
      <c r="I60" s="309">
        <v>3</v>
      </c>
      <c r="K60" s="111"/>
      <c r="T60" s="766"/>
    </row>
    <row r="61" spans="1:20" x14ac:dyDescent="0.2">
      <c r="A61" s="765"/>
      <c r="E61" s="278">
        <f t="shared" si="1"/>
        <v>1</v>
      </c>
      <c r="F61" s="128">
        <v>3</v>
      </c>
      <c r="G61" s="131">
        <f t="shared" si="2"/>
        <v>1</v>
      </c>
      <c r="H61" s="309">
        <f t="shared" si="3"/>
        <v>5000</v>
      </c>
      <c r="I61" s="309">
        <v>4</v>
      </c>
      <c r="K61" s="111"/>
      <c r="T61" s="766"/>
    </row>
    <row r="62" spans="1:20" x14ac:dyDescent="0.2">
      <c r="A62" s="765"/>
      <c r="E62" s="278">
        <f t="shared" si="1"/>
        <v>1</v>
      </c>
      <c r="F62" s="128">
        <v>3</v>
      </c>
      <c r="G62" s="131">
        <f t="shared" si="2"/>
        <v>1</v>
      </c>
      <c r="H62" s="309">
        <f t="shared" si="3"/>
        <v>6000</v>
      </c>
      <c r="I62" s="309">
        <v>4</v>
      </c>
      <c r="K62" s="111"/>
      <c r="T62" s="766"/>
    </row>
    <row r="63" spans="1:20" x14ac:dyDescent="0.2">
      <c r="A63" s="765"/>
      <c r="E63" s="278">
        <f t="shared" si="1"/>
        <v>1</v>
      </c>
      <c r="F63" s="128">
        <v>3</v>
      </c>
      <c r="G63" s="131">
        <f t="shared" si="2"/>
        <v>1</v>
      </c>
      <c r="H63" s="309">
        <f t="shared" si="3"/>
        <v>7000</v>
      </c>
      <c r="I63" s="309">
        <v>5</v>
      </c>
      <c r="K63" s="111"/>
      <c r="T63" s="766"/>
    </row>
    <row r="64" spans="1:20" x14ac:dyDescent="0.2">
      <c r="A64" s="765"/>
      <c r="E64" s="278">
        <f t="shared" si="1"/>
        <v>1</v>
      </c>
      <c r="F64" s="128">
        <v>3</v>
      </c>
      <c r="G64" s="131">
        <f t="shared" si="2"/>
        <v>1</v>
      </c>
      <c r="H64" s="309">
        <f t="shared" si="3"/>
        <v>8000</v>
      </c>
      <c r="I64" s="309">
        <v>5</v>
      </c>
      <c r="K64" s="111"/>
      <c r="T64" s="766"/>
    </row>
    <row r="65" spans="1:20" x14ac:dyDescent="0.2">
      <c r="A65" s="765"/>
      <c r="E65" s="278">
        <f t="shared" si="1"/>
        <v>1</v>
      </c>
      <c r="F65" s="128">
        <v>3</v>
      </c>
      <c r="G65" s="131">
        <f t="shared" si="2"/>
        <v>1</v>
      </c>
      <c r="H65" s="309">
        <f t="shared" si="3"/>
        <v>9000</v>
      </c>
      <c r="I65" s="309">
        <v>6</v>
      </c>
      <c r="K65" s="111"/>
      <c r="T65" s="766"/>
    </row>
    <row r="66" spans="1:20" x14ac:dyDescent="0.2">
      <c r="A66" s="765"/>
      <c r="E66" s="278">
        <f t="shared" si="1"/>
        <v>1</v>
      </c>
      <c r="F66" s="235">
        <v>3</v>
      </c>
      <c r="G66" s="286">
        <f t="shared" si="2"/>
        <v>1</v>
      </c>
      <c r="H66" s="309">
        <f t="shared" si="3"/>
        <v>10000</v>
      </c>
      <c r="I66" s="309">
        <v>6</v>
      </c>
      <c r="K66" s="111"/>
      <c r="T66" s="766"/>
    </row>
    <row r="67" spans="1:20" x14ac:dyDescent="0.2">
      <c r="A67" s="765"/>
      <c r="T67" s="766"/>
    </row>
    <row r="68" spans="1:20" x14ac:dyDescent="0.2">
      <c r="A68" s="765"/>
      <c r="T68" s="766"/>
    </row>
    <row r="69" spans="1:20" x14ac:dyDescent="0.2">
      <c r="A69" s="765"/>
      <c r="T69" s="766"/>
    </row>
    <row r="70" spans="1:20" x14ac:dyDescent="0.2">
      <c r="A70" s="765"/>
      <c r="T70" s="766"/>
    </row>
    <row r="71" spans="1:20" x14ac:dyDescent="0.2">
      <c r="A71" s="765"/>
      <c r="T71" s="766"/>
    </row>
    <row r="72" spans="1:20" x14ac:dyDescent="0.2">
      <c r="A72" s="765"/>
      <c r="T72" s="766"/>
    </row>
    <row r="73" spans="1:20" ht="13.5" thickBot="1" x14ac:dyDescent="0.25">
      <c r="A73" s="768"/>
      <c r="B73" s="769"/>
      <c r="C73" s="769"/>
      <c r="D73" s="769"/>
      <c r="E73" s="769"/>
      <c r="F73" s="769"/>
      <c r="G73" s="769"/>
      <c r="H73" s="769"/>
      <c r="I73" s="769"/>
      <c r="J73" s="769"/>
      <c r="K73" s="770"/>
      <c r="L73" s="769"/>
      <c r="M73" s="769"/>
      <c r="N73" s="769"/>
      <c r="O73" s="769"/>
      <c r="P73" s="769"/>
      <c r="Q73" s="769"/>
      <c r="R73" s="769"/>
      <c r="S73" s="769"/>
      <c r="T73" s="771"/>
    </row>
    <row r="75" spans="1:20" x14ac:dyDescent="0.2">
      <c r="A75" s="956" t="s">
        <v>1225</v>
      </c>
      <c r="B75" s="957"/>
    </row>
    <row r="77" spans="1:20" x14ac:dyDescent="0.2">
      <c r="A77" s="268" t="s">
        <v>937</v>
      </c>
      <c r="B77" s="268" t="s">
        <v>1226</v>
      </c>
      <c r="C77" s="268" t="s">
        <v>568</v>
      </c>
      <c r="D77" s="960" t="s">
        <v>641</v>
      </c>
      <c r="E77" s="960"/>
      <c r="F77" s="960"/>
      <c r="G77" s="956" t="s">
        <v>1230</v>
      </c>
      <c r="H77" s="959"/>
      <c r="I77" s="960"/>
      <c r="J77" s="960"/>
      <c r="K77" s="960"/>
    </row>
    <row r="78" spans="1:20" x14ac:dyDescent="0.2">
      <c r="A78" s="50">
        <f>+O15</f>
        <v>0</v>
      </c>
      <c r="B78" s="50" t="str">
        <f>+O14</f>
        <v xml:space="preserve"> </v>
      </c>
      <c r="C78" s="117"/>
      <c r="D78" s="943" t="s">
        <v>1227</v>
      </c>
      <c r="E78" s="943"/>
      <c r="F78" s="943"/>
      <c r="G78" s="950" t="s">
        <v>1228</v>
      </c>
      <c r="H78" s="951"/>
      <c r="I78" s="943"/>
      <c r="J78" s="943"/>
      <c r="K78" s="943"/>
    </row>
    <row r="79" spans="1:20" x14ac:dyDescent="0.2">
      <c r="A79" s="50">
        <f>+O18</f>
        <v>0</v>
      </c>
      <c r="B79" s="50" t="str">
        <f>+O17</f>
        <v xml:space="preserve"> </v>
      </c>
      <c r="C79" s="50">
        <f>+quote61</f>
        <v>3352.8</v>
      </c>
      <c r="D79" s="943" t="s">
        <v>1227</v>
      </c>
      <c r="E79" s="943"/>
      <c r="F79" s="943"/>
      <c r="G79" s="950" t="s">
        <v>1229</v>
      </c>
      <c r="H79" s="951"/>
      <c r="I79" s="943"/>
      <c r="J79" s="943"/>
      <c r="K79" s="943"/>
    </row>
    <row r="80" spans="1:20" x14ac:dyDescent="0.2">
      <c r="A80" s="50">
        <f>+O27</f>
        <v>0</v>
      </c>
      <c r="B80" s="50" t="str">
        <f>+O26</f>
        <v xml:space="preserve"> </v>
      </c>
      <c r="C80" s="117"/>
      <c r="D80" s="943" t="s">
        <v>532</v>
      </c>
      <c r="E80" s="943"/>
      <c r="F80" s="943"/>
      <c r="G80" s="950" t="s">
        <v>1231</v>
      </c>
      <c r="H80" s="951"/>
      <c r="I80" s="943"/>
      <c r="J80" s="943"/>
      <c r="K80" s="943"/>
    </row>
    <row r="81" spans="1:12" x14ac:dyDescent="0.2">
      <c r="A81" s="50">
        <f>IF(O37=0,+O30,+O30/2)</f>
        <v>0</v>
      </c>
      <c r="B81" s="50" t="str">
        <f>+O29</f>
        <v xml:space="preserve"> </v>
      </c>
      <c r="C81" s="50">
        <f>+quote61</f>
        <v>3352.8</v>
      </c>
      <c r="D81" s="943" t="s">
        <v>532</v>
      </c>
      <c r="E81" s="943"/>
      <c r="F81" s="943"/>
      <c r="G81" s="950" t="s">
        <v>717</v>
      </c>
      <c r="H81" s="951"/>
      <c r="I81" s="945" t="str">
        <f>+"Cutout L1= "&amp;+O33&amp;" mm, L2= "&amp;+O35&amp;" mm"</f>
        <v>Cutout L1= 0 mm, L2= 0 mm</v>
      </c>
      <c r="J81" s="945"/>
      <c r="K81" s="945"/>
    </row>
    <row r="82" spans="1:12" ht="13.5" thickBot="1" x14ac:dyDescent="0.25">
      <c r="A82" s="53">
        <f>IF(O37=0,0,+O30/2)</f>
        <v>0</v>
      </c>
      <c r="B82" s="53" t="str">
        <f>+O29</f>
        <v xml:space="preserve"> </v>
      </c>
      <c r="C82" s="53">
        <f>+quote61+O37</f>
        <v>3352.8</v>
      </c>
      <c r="D82" s="952" t="s">
        <v>532</v>
      </c>
      <c r="E82" s="952"/>
      <c r="F82" s="952"/>
      <c r="G82" s="953" t="s">
        <v>821</v>
      </c>
      <c r="H82" s="954"/>
      <c r="I82" s="961" t="str">
        <f>+"Cutout L1= "&amp;+O33&amp;" mm, L2= "&amp;+(O35+O37)&amp;" mm"</f>
        <v>Cutout L1= 0 mm, L2= 0 mm</v>
      </c>
      <c r="J82" s="961"/>
      <c r="K82" s="961"/>
    </row>
    <row r="83" spans="1:12" x14ac:dyDescent="0.2">
      <c r="A83" s="774">
        <f>IF(RCode=3,2,0)</f>
        <v>2</v>
      </c>
      <c r="B83" s="783" t="s">
        <v>1207</v>
      </c>
      <c r="C83" s="775">
        <f>IF(quote61&gt;6100,+quote61-4-6100,+quote61-4)</f>
        <v>3348.8</v>
      </c>
      <c r="D83" s="776" t="s">
        <v>2049</v>
      </c>
      <c r="E83" s="777"/>
      <c r="F83" s="777"/>
      <c r="G83" s="962" t="s">
        <v>1170</v>
      </c>
      <c r="H83" s="962"/>
      <c r="I83" s="963" t="s">
        <v>2180</v>
      </c>
      <c r="J83" s="963"/>
      <c r="K83" s="964"/>
      <c r="L83" s="760" t="s">
        <v>2321</v>
      </c>
    </row>
    <row r="84" spans="1:12" x14ac:dyDescent="0.2">
      <c r="A84" s="778">
        <f>IF(AND(quote61&gt;6100,RCode=3),2,0)</f>
        <v>0</v>
      </c>
      <c r="B84" s="173" t="s">
        <v>1207</v>
      </c>
      <c r="C84" s="50">
        <v>6100</v>
      </c>
      <c r="D84" s="773" t="s">
        <v>2049</v>
      </c>
      <c r="E84" s="479"/>
      <c r="F84" s="479"/>
      <c r="G84" s="117"/>
      <c r="H84" s="117"/>
      <c r="I84" s="945"/>
      <c r="J84" s="945"/>
      <c r="K84" s="946"/>
    </row>
    <row r="85" spans="1:12" x14ac:dyDescent="0.2">
      <c r="A85" s="778">
        <f>IF(AND(RCode=3,P8Q1="Yes"),2,0)</f>
        <v>2</v>
      </c>
      <c r="B85" s="173" t="s">
        <v>1208</v>
      </c>
      <c r="C85" s="50">
        <f>+quote61-4</f>
        <v>3348.8</v>
      </c>
      <c r="D85" s="773" t="s">
        <v>2049</v>
      </c>
      <c r="E85" s="479"/>
      <c r="F85" s="479"/>
      <c r="G85" s="949" t="s">
        <v>761</v>
      </c>
      <c r="H85" s="949"/>
      <c r="I85" s="945" t="str">
        <f>"Require "&amp;+quote70&amp;" at "&amp;+quote61&amp;" mm OAL"</f>
        <v>Require 2 at 3352.8 mm OAL</v>
      </c>
      <c r="J85" s="945"/>
      <c r="K85" s="946"/>
    </row>
    <row r="86" spans="1:12" x14ac:dyDescent="0.2">
      <c r="A86" s="779">
        <f>IF(RCode=3,+O56,0)</f>
        <v>6</v>
      </c>
      <c r="B86" s="173" t="s">
        <v>2323</v>
      </c>
      <c r="C86" s="117"/>
      <c r="D86" s="773" t="s">
        <v>2049</v>
      </c>
      <c r="E86" s="479"/>
      <c r="F86" s="479"/>
      <c r="G86" s="949" t="s">
        <v>1234</v>
      </c>
      <c r="H86" s="949"/>
      <c r="I86" s="943"/>
      <c r="J86" s="943"/>
      <c r="K86" s="944"/>
    </row>
    <row r="87" spans="1:12" x14ac:dyDescent="0.2">
      <c r="A87" s="779">
        <f>IF(RCode=3,+O56*2,0)</f>
        <v>12</v>
      </c>
      <c r="B87" s="173" t="s">
        <v>1174</v>
      </c>
      <c r="C87" s="117"/>
      <c r="D87" s="773" t="s">
        <v>2049</v>
      </c>
      <c r="E87" s="479"/>
      <c r="F87" s="479"/>
      <c r="G87" s="949" t="s">
        <v>1172</v>
      </c>
      <c r="H87" s="949"/>
      <c r="I87" s="943"/>
      <c r="J87" s="943"/>
      <c r="K87" s="944"/>
    </row>
    <row r="88" spans="1:12" ht="13.5" thickBot="1" x14ac:dyDescent="0.25">
      <c r="A88" s="784">
        <f>IF(AND(RCode=3,P8Q1="Yes"),4,0)</f>
        <v>4</v>
      </c>
      <c r="B88" s="785" t="s">
        <v>189</v>
      </c>
      <c r="C88" s="780"/>
      <c r="D88" s="781" t="s">
        <v>2049</v>
      </c>
      <c r="E88" s="782"/>
      <c r="F88" s="782"/>
      <c r="G88" s="942" t="s">
        <v>1233</v>
      </c>
      <c r="H88" s="942"/>
      <c r="I88" s="947"/>
      <c r="J88" s="947"/>
      <c r="K88" s="948"/>
    </row>
    <row r="89" spans="1:12" ht="13.5" thickBot="1" x14ac:dyDescent="0.25">
      <c r="A89" s="778">
        <f>IF(AND(quote61&gt;6100,RCode=3),2,0)</f>
        <v>0</v>
      </c>
      <c r="B89" s="785" t="s">
        <v>2325</v>
      </c>
      <c r="C89" s="780"/>
      <c r="D89" s="781" t="s">
        <v>2049</v>
      </c>
      <c r="E89" s="782"/>
      <c r="F89" s="782"/>
      <c r="G89" s="941" t="s">
        <v>1269</v>
      </c>
      <c r="H89" s="942"/>
      <c r="I89" s="947"/>
      <c r="J89" s="947"/>
      <c r="K89" s="948"/>
    </row>
  </sheetData>
  <mergeCells count="38">
    <mergeCell ref="I82:K82"/>
    <mergeCell ref="I84:K84"/>
    <mergeCell ref="G83:H83"/>
    <mergeCell ref="I83:K83"/>
    <mergeCell ref="I77:K77"/>
    <mergeCell ref="I80:K80"/>
    <mergeCell ref="I79:K79"/>
    <mergeCell ref="I78:K78"/>
    <mergeCell ref="I81:K81"/>
    <mergeCell ref="D80:F80"/>
    <mergeCell ref="G80:H80"/>
    <mergeCell ref="G78:H78"/>
    <mergeCell ref="G77:H77"/>
    <mergeCell ref="G79:H79"/>
    <mergeCell ref="D79:F79"/>
    <mergeCell ref="D78:F78"/>
    <mergeCell ref="D77:F77"/>
    <mergeCell ref="L51:M51"/>
    <mergeCell ref="A75:B75"/>
    <mergeCell ref="E14:G14"/>
    <mergeCell ref="E26:G26"/>
    <mergeCell ref="F55:G55"/>
    <mergeCell ref="F33:G33"/>
    <mergeCell ref="J51:K51"/>
    <mergeCell ref="D81:F81"/>
    <mergeCell ref="G86:H86"/>
    <mergeCell ref="G85:H85"/>
    <mergeCell ref="G88:H88"/>
    <mergeCell ref="G87:H87"/>
    <mergeCell ref="G81:H81"/>
    <mergeCell ref="D82:F82"/>
    <mergeCell ref="G82:H82"/>
    <mergeCell ref="G89:H89"/>
    <mergeCell ref="I87:K87"/>
    <mergeCell ref="I86:K86"/>
    <mergeCell ref="I85:K85"/>
    <mergeCell ref="I89:K89"/>
    <mergeCell ref="I88:K88"/>
  </mergeCells>
  <phoneticPr fontId="7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FF0000"/>
    <pageSetUpPr fitToPage="1"/>
  </sheetPr>
  <dimension ref="A3:R392"/>
  <sheetViews>
    <sheetView topLeftCell="A232" workbookViewId="0"/>
  </sheetViews>
  <sheetFormatPr defaultColWidth="8.85546875" defaultRowHeight="12.75" x14ac:dyDescent="0.2"/>
  <cols>
    <col min="1" max="1" width="4.28515625" style="146" customWidth="1"/>
    <col min="2" max="2" width="6.7109375" style="146" bestFit="1" customWidth="1"/>
    <col min="3" max="3" width="7.7109375" style="146" bestFit="1" customWidth="1"/>
    <col min="4" max="7" width="12" style="146" bestFit="1" customWidth="1"/>
    <col min="8" max="8" width="7.7109375" style="146" bestFit="1" customWidth="1"/>
    <col min="9" max="9" width="10.28515625" style="146" bestFit="1" customWidth="1"/>
    <col min="10" max="10" width="7.7109375" style="146" bestFit="1" customWidth="1"/>
    <col min="11" max="11" width="10.28515625" style="146" bestFit="1" customWidth="1"/>
    <col min="12" max="13" width="7.7109375" style="146" bestFit="1" customWidth="1"/>
    <col min="14" max="14" width="3.5703125" style="146" bestFit="1" customWidth="1"/>
    <col min="15" max="15" width="9.7109375" style="146" bestFit="1" customWidth="1"/>
    <col min="16" max="16" width="2.42578125" style="146" bestFit="1" customWidth="1"/>
    <col min="17" max="17" width="9.7109375" style="146" bestFit="1" customWidth="1"/>
    <col min="18" max="18" width="11.85546875" style="146" bestFit="1" customWidth="1"/>
    <col min="19" max="16384" width="8.85546875" style="146"/>
  </cols>
  <sheetData>
    <row r="3" spans="1:18" ht="30" customHeight="1" x14ac:dyDescent="0.4">
      <c r="B3" s="147"/>
      <c r="C3" s="147"/>
      <c r="D3" s="147"/>
      <c r="E3" s="147"/>
      <c r="F3" s="147"/>
      <c r="G3" s="148"/>
      <c r="H3" s="148"/>
      <c r="I3" s="148"/>
      <c r="J3" s="148"/>
      <c r="K3" s="148"/>
      <c r="L3" s="149"/>
      <c r="M3" s="150"/>
      <c r="N3" s="149"/>
      <c r="O3" s="149"/>
    </row>
    <row r="5" spans="1:18" s="151" customFormat="1" ht="7.5" customHeight="1" x14ac:dyDescent="0.2"/>
    <row r="6" spans="1:18" s="152" customFormat="1" ht="7.5" customHeight="1" x14ac:dyDescent="0.2"/>
    <row r="7" spans="1:18" x14ac:dyDescent="0.2">
      <c r="A7" s="153"/>
    </row>
    <row r="8" spans="1:18" x14ac:dyDescent="0.2">
      <c r="A8" s="154"/>
      <c r="B8" s="15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</row>
    <row r="9" spans="1:18" s="157" customFormat="1" ht="15.6" customHeight="1" x14ac:dyDescent="0.25">
      <c r="A9" s="158"/>
      <c r="B9" s="967" t="s">
        <v>1947</v>
      </c>
      <c r="C9" s="968"/>
      <c r="D9" s="968"/>
      <c r="E9" s="968"/>
      <c r="F9" s="968"/>
      <c r="G9" s="968"/>
      <c r="H9" s="159"/>
      <c r="I9" s="159"/>
      <c r="J9" s="159"/>
      <c r="K9" s="159"/>
      <c r="L9" s="159"/>
      <c r="M9" s="159"/>
      <c r="N9" s="172"/>
      <c r="O9" s="193">
        <f>INDEX(C11:M48,MATCH(p0q1,B11:B48,-1),MATCH(P0Q2,C10:M10))</f>
        <v>758.83999999999992</v>
      </c>
      <c r="Q9" s="194">
        <f>IF(P0Q14="Stainless",+O9,0)</f>
        <v>0</v>
      </c>
      <c r="R9" s="194" t="s">
        <v>1980</v>
      </c>
    </row>
    <row r="10" spans="1:18" x14ac:dyDescent="0.2">
      <c r="A10" s="156"/>
      <c r="B10" s="166">
        <v>0</v>
      </c>
      <c r="C10" s="166">
        <v>50</v>
      </c>
      <c r="D10" s="166">
        <v>100</v>
      </c>
      <c r="E10" s="166">
        <v>150</v>
      </c>
      <c r="F10" s="166">
        <v>200</v>
      </c>
      <c r="G10" s="166">
        <v>250</v>
      </c>
      <c r="H10" s="166">
        <v>300</v>
      </c>
      <c r="I10" s="166">
        <v>400</v>
      </c>
      <c r="J10" s="166">
        <v>500</v>
      </c>
      <c r="K10" s="166">
        <v>600</v>
      </c>
      <c r="L10" s="166">
        <v>700</v>
      </c>
      <c r="M10" s="171">
        <v>800</v>
      </c>
    </row>
    <row r="11" spans="1:18" x14ac:dyDescent="0.2">
      <c r="A11" s="156"/>
      <c r="B11" s="167">
        <v>20000</v>
      </c>
      <c r="C11" s="161">
        <v>1195.52</v>
      </c>
      <c r="D11" s="160">
        <v>1714.62</v>
      </c>
      <c r="E11" s="160">
        <v>2459.52</v>
      </c>
      <c r="F11" s="160">
        <v>2753.3799999999997</v>
      </c>
      <c r="G11" s="160">
        <v>2970.8799999999997</v>
      </c>
      <c r="H11" s="160">
        <v>3174.8799999999997</v>
      </c>
      <c r="I11" s="160">
        <v>3393.8799999999997</v>
      </c>
      <c r="J11" s="160">
        <v>3747.8799999999997</v>
      </c>
      <c r="K11" s="160">
        <v>4061.3799999999997</v>
      </c>
      <c r="L11" s="160">
        <v>4053.1866666666665</v>
      </c>
      <c r="M11" s="160">
        <v>4137.1866666666665</v>
      </c>
    </row>
    <row r="12" spans="1:18" x14ac:dyDescent="0.2">
      <c r="A12" s="156"/>
      <c r="B12" s="167">
        <v>19500</v>
      </c>
      <c r="C12" s="161">
        <v>1160.6399999999999</v>
      </c>
      <c r="D12" s="160">
        <v>1665.24</v>
      </c>
      <c r="E12" s="160">
        <v>2389.64</v>
      </c>
      <c r="F12" s="160">
        <v>2684</v>
      </c>
      <c r="G12" s="160">
        <v>2895</v>
      </c>
      <c r="H12" s="160">
        <v>3093</v>
      </c>
      <c r="I12" s="160">
        <v>3307</v>
      </c>
      <c r="J12" s="160">
        <v>3651</v>
      </c>
      <c r="K12" s="160">
        <v>3956</v>
      </c>
      <c r="L12" s="160">
        <v>3966.5199999999995</v>
      </c>
      <c r="M12" s="160">
        <v>4050.5199999999995</v>
      </c>
    </row>
    <row r="13" spans="1:18" x14ac:dyDescent="0.2">
      <c r="A13" s="156"/>
      <c r="B13" s="167">
        <v>19000</v>
      </c>
      <c r="C13" s="161">
        <v>1140.6399999999999</v>
      </c>
      <c r="D13" s="160">
        <v>1635.24</v>
      </c>
      <c r="E13" s="160">
        <v>2344.64</v>
      </c>
      <c r="F13" s="160">
        <v>2628.04</v>
      </c>
      <c r="G13" s="160">
        <v>2837.04</v>
      </c>
      <c r="H13" s="160">
        <v>3033.04</v>
      </c>
      <c r="I13" s="160">
        <v>3243.04</v>
      </c>
      <c r="J13" s="160">
        <v>3583.04</v>
      </c>
      <c r="K13" s="160">
        <v>3884.04</v>
      </c>
      <c r="L13" s="160">
        <v>3841.0133333333333</v>
      </c>
      <c r="M13" s="160">
        <v>3921.0133333333333</v>
      </c>
    </row>
    <row r="14" spans="1:18" x14ac:dyDescent="0.2">
      <c r="A14" s="156"/>
      <c r="B14" s="167">
        <v>18500</v>
      </c>
      <c r="C14" s="161">
        <v>1108.6399999999999</v>
      </c>
      <c r="D14" s="160">
        <v>1588.74</v>
      </c>
      <c r="E14" s="160">
        <v>2277.64</v>
      </c>
      <c r="F14" s="160">
        <v>2561.54</v>
      </c>
      <c r="G14" s="160">
        <v>2764.04</v>
      </c>
      <c r="H14" s="160">
        <v>2954.04</v>
      </c>
      <c r="I14" s="160">
        <v>3159.04</v>
      </c>
      <c r="J14" s="160">
        <v>3489.04</v>
      </c>
      <c r="K14" s="160">
        <v>3781.54</v>
      </c>
      <c r="L14" s="160">
        <v>3754.3466666666664</v>
      </c>
      <c r="M14" s="160">
        <v>3834.3466666666664</v>
      </c>
    </row>
    <row r="15" spans="1:18" x14ac:dyDescent="0.2">
      <c r="A15" s="156"/>
      <c r="B15" s="167">
        <v>18000</v>
      </c>
      <c r="C15" s="161">
        <v>1073.76</v>
      </c>
      <c r="D15" s="160">
        <v>1539.36</v>
      </c>
      <c r="E15" s="160">
        <v>2207.7599999999998</v>
      </c>
      <c r="F15" s="160">
        <v>2476.1999999999998</v>
      </c>
      <c r="G15" s="160">
        <v>2670.2</v>
      </c>
      <c r="H15" s="160">
        <v>2852.2</v>
      </c>
      <c r="I15" s="160">
        <v>3048.2</v>
      </c>
      <c r="J15" s="160">
        <v>3364.2</v>
      </c>
      <c r="K15" s="160">
        <v>3644.2</v>
      </c>
      <c r="L15" s="160">
        <v>3628.84</v>
      </c>
      <c r="M15" s="160">
        <v>3704.84</v>
      </c>
    </row>
    <row r="16" spans="1:18" x14ac:dyDescent="0.2">
      <c r="A16" s="156"/>
      <c r="B16" s="167">
        <v>17500</v>
      </c>
      <c r="C16" s="161">
        <v>1053.76</v>
      </c>
      <c r="D16" s="160">
        <v>1509.36</v>
      </c>
      <c r="E16" s="160">
        <v>2162.7599999999998</v>
      </c>
      <c r="F16" s="160">
        <v>2436.1999999999998</v>
      </c>
      <c r="G16" s="160">
        <v>2630.2</v>
      </c>
      <c r="H16" s="160">
        <v>2812.2</v>
      </c>
      <c r="I16" s="160">
        <v>3008.2</v>
      </c>
      <c r="J16" s="160">
        <v>3324.2</v>
      </c>
      <c r="K16" s="160">
        <v>3604.2</v>
      </c>
      <c r="L16" s="160">
        <v>3588.84</v>
      </c>
      <c r="M16" s="160">
        <v>3664.84</v>
      </c>
    </row>
    <row r="17" spans="1:13" x14ac:dyDescent="0.2">
      <c r="A17" s="156"/>
      <c r="B17" s="167">
        <v>17000</v>
      </c>
      <c r="C17" s="161">
        <v>1021.76</v>
      </c>
      <c r="D17" s="160">
        <v>1462.86</v>
      </c>
      <c r="E17" s="160">
        <v>2095.7599999999998</v>
      </c>
      <c r="F17" s="160">
        <v>2353.7399999999998</v>
      </c>
      <c r="G17" s="160">
        <v>2539.2400000000002</v>
      </c>
      <c r="H17" s="160">
        <v>2713.2400000000002</v>
      </c>
      <c r="I17" s="160">
        <v>2900.2400000000002</v>
      </c>
      <c r="J17" s="160">
        <v>3202.2400000000002</v>
      </c>
      <c r="K17" s="160">
        <v>3469.74</v>
      </c>
      <c r="L17" s="160">
        <v>3466.2133333333331</v>
      </c>
      <c r="M17" s="160">
        <v>3538.2133333333331</v>
      </c>
    </row>
    <row r="18" spans="1:13" x14ac:dyDescent="0.2">
      <c r="A18" s="156"/>
      <c r="B18" s="167">
        <v>16500</v>
      </c>
      <c r="C18" s="161">
        <v>986.87999999999988</v>
      </c>
      <c r="D18" s="160">
        <v>1413.48</v>
      </c>
      <c r="E18" s="160">
        <v>2025.8799999999997</v>
      </c>
      <c r="F18" s="160">
        <v>2284.36</v>
      </c>
      <c r="G18" s="160">
        <v>2463.36</v>
      </c>
      <c r="H18" s="160">
        <v>2631.36</v>
      </c>
      <c r="I18" s="160">
        <v>2813.36</v>
      </c>
      <c r="J18" s="160">
        <v>3105.36</v>
      </c>
      <c r="K18" s="160">
        <v>3364.3599999999997</v>
      </c>
      <c r="L18" s="160">
        <v>3376.6666666666661</v>
      </c>
      <c r="M18" s="160">
        <v>3448.6666666666661</v>
      </c>
    </row>
    <row r="19" spans="1:13" x14ac:dyDescent="0.2">
      <c r="A19" s="156"/>
      <c r="B19" s="167">
        <v>16000</v>
      </c>
      <c r="C19" s="161">
        <v>966.88000000000011</v>
      </c>
      <c r="D19" s="160">
        <v>1383.48</v>
      </c>
      <c r="E19" s="160">
        <v>1980.88</v>
      </c>
      <c r="F19" s="160">
        <v>2228.4</v>
      </c>
      <c r="G19" s="160">
        <v>2405.4</v>
      </c>
      <c r="H19" s="160">
        <v>2571.4</v>
      </c>
      <c r="I19" s="160">
        <v>2749.4</v>
      </c>
      <c r="J19" s="160">
        <v>3037.4</v>
      </c>
      <c r="K19" s="160">
        <v>3292.4</v>
      </c>
      <c r="L19" s="160">
        <v>3254.0400000000004</v>
      </c>
      <c r="M19" s="160">
        <v>3322.0400000000004</v>
      </c>
    </row>
    <row r="20" spans="1:13" x14ac:dyDescent="0.2">
      <c r="A20" s="156"/>
      <c r="B20" s="167">
        <v>15500</v>
      </c>
      <c r="C20" s="161">
        <v>934.88000000000011</v>
      </c>
      <c r="D20" s="160">
        <v>1336.98</v>
      </c>
      <c r="E20" s="160">
        <v>1913.88</v>
      </c>
      <c r="F20" s="160">
        <v>2161.9</v>
      </c>
      <c r="G20" s="160">
        <v>2332.4</v>
      </c>
      <c r="H20" s="160">
        <v>2492.4</v>
      </c>
      <c r="I20" s="160">
        <v>2665.4</v>
      </c>
      <c r="J20" s="160">
        <v>2943.4</v>
      </c>
      <c r="K20" s="160">
        <v>3189.9</v>
      </c>
      <c r="L20" s="160">
        <v>3164.4933333333333</v>
      </c>
      <c r="M20" s="160">
        <v>3232.4933333333333</v>
      </c>
    </row>
    <row r="21" spans="1:13" x14ac:dyDescent="0.2">
      <c r="A21" s="156"/>
      <c r="B21" s="167">
        <v>15000</v>
      </c>
      <c r="C21" s="161">
        <v>888</v>
      </c>
      <c r="D21" s="160">
        <v>1275.6000000000001</v>
      </c>
      <c r="E21" s="160">
        <v>1832</v>
      </c>
      <c r="F21" s="160">
        <v>2052.56</v>
      </c>
      <c r="G21" s="160">
        <v>2214.56</v>
      </c>
      <c r="H21" s="160">
        <v>2366.56</v>
      </c>
      <c r="I21" s="160">
        <v>2530.56</v>
      </c>
      <c r="J21" s="160">
        <v>2794.56</v>
      </c>
      <c r="K21" s="160">
        <v>3028.56</v>
      </c>
      <c r="L21" s="160">
        <v>3017.8666666666668</v>
      </c>
      <c r="M21" s="160">
        <v>3081.8666666666668</v>
      </c>
    </row>
    <row r="22" spans="1:13" x14ac:dyDescent="0.2">
      <c r="A22" s="156"/>
      <c r="B22" s="167">
        <v>14500</v>
      </c>
      <c r="C22" s="161">
        <v>868</v>
      </c>
      <c r="D22" s="160">
        <v>1245.6000000000001</v>
      </c>
      <c r="E22" s="160">
        <v>1787</v>
      </c>
      <c r="F22" s="160">
        <v>2012.56</v>
      </c>
      <c r="G22" s="160">
        <v>2174.56</v>
      </c>
      <c r="H22" s="160">
        <v>2326.56</v>
      </c>
      <c r="I22" s="160">
        <v>2490.56</v>
      </c>
      <c r="J22" s="160">
        <v>2754.56</v>
      </c>
      <c r="K22" s="160">
        <v>2988.56</v>
      </c>
      <c r="L22" s="160">
        <v>2977.8666666666668</v>
      </c>
      <c r="M22" s="160">
        <v>3041.8666666666668</v>
      </c>
    </row>
    <row r="23" spans="1:13" x14ac:dyDescent="0.2">
      <c r="A23" s="156"/>
      <c r="B23" s="167">
        <v>14000</v>
      </c>
      <c r="C23" s="161">
        <v>836</v>
      </c>
      <c r="D23" s="160">
        <v>1199.1000000000001</v>
      </c>
      <c r="E23" s="160">
        <v>1720</v>
      </c>
      <c r="F23" s="160">
        <v>1930.1000000000001</v>
      </c>
      <c r="G23" s="160">
        <v>2083.6000000000004</v>
      </c>
      <c r="H23" s="160">
        <v>2227.6</v>
      </c>
      <c r="I23" s="160">
        <v>2382.6</v>
      </c>
      <c r="J23" s="160">
        <v>2632.6</v>
      </c>
      <c r="K23" s="160">
        <v>2854.1</v>
      </c>
      <c r="L23" s="160">
        <v>2852.36</v>
      </c>
      <c r="M23" s="160">
        <v>2912.36</v>
      </c>
    </row>
    <row r="24" spans="1:13" x14ac:dyDescent="0.2">
      <c r="A24" s="156"/>
      <c r="B24" s="167">
        <v>13500</v>
      </c>
      <c r="C24" s="161">
        <v>801.12</v>
      </c>
      <c r="D24" s="160">
        <v>1149.72</v>
      </c>
      <c r="E24" s="160">
        <v>1650.1200000000001</v>
      </c>
      <c r="F24" s="160">
        <v>1860.7200000000003</v>
      </c>
      <c r="G24" s="160">
        <v>2007.7200000000003</v>
      </c>
      <c r="H24" s="160">
        <v>2145.7200000000003</v>
      </c>
      <c r="I24" s="160">
        <v>2295.7200000000003</v>
      </c>
      <c r="J24" s="160">
        <v>2535.7200000000003</v>
      </c>
      <c r="K24" s="160">
        <v>2748.7200000000003</v>
      </c>
      <c r="L24" s="160">
        <v>2765.6933333333332</v>
      </c>
      <c r="M24" s="160">
        <v>2825.6933333333332</v>
      </c>
    </row>
    <row r="25" spans="1:13" x14ac:dyDescent="0.2">
      <c r="A25" s="156"/>
      <c r="B25" s="167">
        <v>13000</v>
      </c>
      <c r="C25" s="161">
        <v>781.12</v>
      </c>
      <c r="D25" s="160">
        <v>1119.72</v>
      </c>
      <c r="E25" s="160">
        <v>1605.1200000000001</v>
      </c>
      <c r="F25" s="160">
        <v>1804.7600000000002</v>
      </c>
      <c r="G25" s="160">
        <v>1949.7600000000002</v>
      </c>
      <c r="H25" s="160">
        <v>2085.7600000000002</v>
      </c>
      <c r="I25" s="160">
        <v>2231.7600000000002</v>
      </c>
      <c r="J25" s="160">
        <v>2467.7600000000002</v>
      </c>
      <c r="K25" s="160">
        <v>2676.76</v>
      </c>
      <c r="L25" s="160">
        <v>2640.186666666667</v>
      </c>
      <c r="M25" s="160">
        <v>2696.186666666667</v>
      </c>
    </row>
    <row r="26" spans="1:13" x14ac:dyDescent="0.2">
      <c r="A26" s="156"/>
      <c r="B26" s="167">
        <v>12500</v>
      </c>
      <c r="C26" s="161">
        <v>749.12</v>
      </c>
      <c r="D26" s="160">
        <v>1073.22</v>
      </c>
      <c r="E26" s="160">
        <v>1538.1200000000001</v>
      </c>
      <c r="F26" s="160">
        <v>1738.2600000000002</v>
      </c>
      <c r="G26" s="160">
        <v>1876.7600000000002</v>
      </c>
      <c r="H26" s="160">
        <v>2006.7600000000002</v>
      </c>
      <c r="I26" s="160">
        <v>2147.7600000000002</v>
      </c>
      <c r="J26" s="160">
        <v>2373.7600000000002</v>
      </c>
      <c r="K26" s="160">
        <v>2574.2600000000002</v>
      </c>
      <c r="L26" s="160">
        <v>2553.52</v>
      </c>
      <c r="M26" s="160">
        <v>2609.52</v>
      </c>
    </row>
    <row r="27" spans="1:13" x14ac:dyDescent="0.2">
      <c r="A27" s="156"/>
      <c r="B27" s="167">
        <v>12000</v>
      </c>
      <c r="C27" s="161">
        <v>714.24</v>
      </c>
      <c r="D27" s="160">
        <v>1023.8400000000001</v>
      </c>
      <c r="E27" s="160">
        <v>1468.24</v>
      </c>
      <c r="F27" s="160">
        <v>1652.92</v>
      </c>
      <c r="G27" s="160">
        <v>1782.92</v>
      </c>
      <c r="H27" s="160">
        <v>1904.92</v>
      </c>
      <c r="I27" s="160">
        <v>2036.92</v>
      </c>
      <c r="J27" s="160">
        <v>2248.92</v>
      </c>
      <c r="K27" s="160">
        <v>2436.92</v>
      </c>
      <c r="L27" s="160">
        <v>2428.0133333333333</v>
      </c>
      <c r="M27" s="160">
        <v>2480.0133333333333</v>
      </c>
    </row>
    <row r="28" spans="1:13" x14ac:dyDescent="0.2">
      <c r="A28" s="156"/>
      <c r="B28" s="167">
        <v>11500</v>
      </c>
      <c r="C28" s="161">
        <v>694.24</v>
      </c>
      <c r="D28" s="160">
        <v>993.84000000000015</v>
      </c>
      <c r="E28" s="160">
        <v>1423.24</v>
      </c>
      <c r="F28" s="160">
        <v>1612.92</v>
      </c>
      <c r="G28" s="160">
        <v>1742.92</v>
      </c>
      <c r="H28" s="160">
        <v>1864.92</v>
      </c>
      <c r="I28" s="160">
        <v>1996.92</v>
      </c>
      <c r="J28" s="160">
        <v>2208.92</v>
      </c>
      <c r="K28" s="160">
        <v>2396.92</v>
      </c>
      <c r="L28" s="160">
        <v>2388.0133333333333</v>
      </c>
      <c r="M28" s="160">
        <v>2440.0133333333333</v>
      </c>
    </row>
    <row r="29" spans="1:13" x14ac:dyDescent="0.2">
      <c r="A29" s="156"/>
      <c r="B29" s="167">
        <v>11000</v>
      </c>
      <c r="C29" s="161">
        <v>662.24</v>
      </c>
      <c r="D29" s="160">
        <v>947.34000000000015</v>
      </c>
      <c r="E29" s="160">
        <v>1356.24</v>
      </c>
      <c r="F29" s="160">
        <v>1530.46</v>
      </c>
      <c r="G29" s="160">
        <v>1651.96</v>
      </c>
      <c r="H29" s="160">
        <v>1765.96</v>
      </c>
      <c r="I29" s="160">
        <v>1888.96</v>
      </c>
      <c r="J29" s="160">
        <v>2086.96</v>
      </c>
      <c r="K29" s="160">
        <v>2262.46</v>
      </c>
      <c r="L29" s="160">
        <v>2265.3866666666668</v>
      </c>
      <c r="M29" s="160">
        <v>2313.3866666666668</v>
      </c>
    </row>
    <row r="30" spans="1:13" x14ac:dyDescent="0.2">
      <c r="A30" s="156"/>
      <c r="B30" s="167">
        <v>10500</v>
      </c>
      <c r="C30" s="161">
        <v>627.36</v>
      </c>
      <c r="D30" s="160">
        <v>897.96</v>
      </c>
      <c r="E30" s="161">
        <v>1286.3600000000001</v>
      </c>
      <c r="F30" s="160">
        <v>1461.0800000000002</v>
      </c>
      <c r="G30" s="161">
        <v>1576.0800000000002</v>
      </c>
      <c r="H30" s="160">
        <v>1684.08</v>
      </c>
      <c r="I30" s="161">
        <v>1802.08</v>
      </c>
      <c r="J30" s="160">
        <v>1990.08</v>
      </c>
      <c r="K30" s="161">
        <v>2157.08</v>
      </c>
      <c r="L30" s="160">
        <v>2175.84</v>
      </c>
      <c r="M30" s="161">
        <v>2223.84</v>
      </c>
    </row>
    <row r="31" spans="1:13" x14ac:dyDescent="0.2">
      <c r="A31" s="156"/>
      <c r="B31" s="167">
        <v>10000</v>
      </c>
      <c r="C31" s="161">
        <v>595.36</v>
      </c>
      <c r="D31" s="161">
        <v>855.96</v>
      </c>
      <c r="E31" s="161">
        <v>1229.3600000000001</v>
      </c>
      <c r="F31" s="161">
        <v>1381.1200000000001</v>
      </c>
      <c r="G31" s="161">
        <v>1494.1200000000001</v>
      </c>
      <c r="H31" s="161">
        <v>1600.12</v>
      </c>
      <c r="I31" s="161">
        <v>1714.12</v>
      </c>
      <c r="J31" s="161">
        <v>1898.12</v>
      </c>
      <c r="K31" s="161">
        <v>2061.12</v>
      </c>
      <c r="L31" s="161">
        <v>2029.2133333333331</v>
      </c>
      <c r="M31" s="161">
        <v>2073.2133333333331</v>
      </c>
    </row>
    <row r="32" spans="1:13" x14ac:dyDescent="0.2">
      <c r="A32" s="156"/>
      <c r="B32" s="167">
        <v>9500</v>
      </c>
      <c r="C32" s="161">
        <v>563.36</v>
      </c>
      <c r="D32" s="160">
        <v>809.46</v>
      </c>
      <c r="E32" s="161">
        <v>1162.3600000000001</v>
      </c>
      <c r="F32" s="160">
        <v>1314.6200000000001</v>
      </c>
      <c r="G32" s="161">
        <v>1421.1200000000001</v>
      </c>
      <c r="H32" s="160">
        <v>1521.12</v>
      </c>
      <c r="I32" s="161">
        <v>1630.12</v>
      </c>
      <c r="J32" s="160">
        <v>1804.12</v>
      </c>
      <c r="K32" s="161">
        <v>1958.62</v>
      </c>
      <c r="L32" s="160">
        <v>1939.6666666666665</v>
      </c>
      <c r="M32" s="161">
        <v>1983.6666666666665</v>
      </c>
    </row>
    <row r="33" spans="1:13" x14ac:dyDescent="0.2">
      <c r="A33" s="156"/>
      <c r="B33" s="167">
        <v>9000</v>
      </c>
      <c r="C33" s="161">
        <v>528.48</v>
      </c>
      <c r="D33" s="160">
        <v>760.08</v>
      </c>
      <c r="E33" s="161">
        <v>1092.48</v>
      </c>
      <c r="F33" s="160">
        <v>1229.2800000000002</v>
      </c>
      <c r="G33" s="161">
        <v>1327.2800000000002</v>
      </c>
      <c r="H33" s="160">
        <v>1419.2800000000002</v>
      </c>
      <c r="I33" s="161">
        <v>1519.2800000000002</v>
      </c>
      <c r="J33" s="160">
        <v>1679.2800000000002</v>
      </c>
      <c r="K33" s="161">
        <v>1821.2800000000002</v>
      </c>
      <c r="L33" s="160">
        <v>1817.04</v>
      </c>
      <c r="M33" s="161">
        <v>1857.04</v>
      </c>
    </row>
    <row r="34" spans="1:13" x14ac:dyDescent="0.2">
      <c r="A34" s="156"/>
      <c r="B34" s="167">
        <v>8500</v>
      </c>
      <c r="C34" s="161">
        <v>508.48</v>
      </c>
      <c r="D34" s="160">
        <v>730.08</v>
      </c>
      <c r="E34" s="161">
        <v>1047.48</v>
      </c>
      <c r="F34" s="160">
        <v>1189.2800000000002</v>
      </c>
      <c r="G34" s="161">
        <v>1287.2800000000002</v>
      </c>
      <c r="H34" s="160">
        <v>1379.2800000000002</v>
      </c>
      <c r="I34" s="161">
        <v>1479.2800000000002</v>
      </c>
      <c r="J34" s="160">
        <v>1639.2800000000002</v>
      </c>
      <c r="K34" s="161">
        <v>1781.2800000000002</v>
      </c>
      <c r="L34" s="160">
        <v>1777.04</v>
      </c>
      <c r="M34" s="161">
        <v>1817.04</v>
      </c>
    </row>
    <row r="35" spans="1:13" x14ac:dyDescent="0.2">
      <c r="A35" s="156"/>
      <c r="B35" s="167">
        <v>8000</v>
      </c>
      <c r="C35" s="161">
        <v>476.48</v>
      </c>
      <c r="D35" s="160">
        <v>683.58</v>
      </c>
      <c r="E35" s="161">
        <v>980.48</v>
      </c>
      <c r="F35" s="160">
        <v>1106.82</v>
      </c>
      <c r="G35" s="161">
        <v>1196.32</v>
      </c>
      <c r="H35" s="160">
        <v>1280.32</v>
      </c>
      <c r="I35" s="161">
        <v>1371.32</v>
      </c>
      <c r="J35" s="160">
        <v>1517.32</v>
      </c>
      <c r="K35" s="161">
        <v>1646.8199999999997</v>
      </c>
      <c r="L35" s="160">
        <v>1651.5333333333333</v>
      </c>
      <c r="M35" s="161">
        <v>1687.5333333333333</v>
      </c>
    </row>
    <row r="36" spans="1:13" x14ac:dyDescent="0.2">
      <c r="A36" s="156"/>
      <c r="B36" s="167">
        <v>7500</v>
      </c>
      <c r="C36" s="161">
        <v>441.6</v>
      </c>
      <c r="D36" s="160">
        <v>634.20000000000005</v>
      </c>
      <c r="E36" s="161">
        <v>910.6</v>
      </c>
      <c r="F36" s="160">
        <v>1037.44</v>
      </c>
      <c r="G36" s="161">
        <v>1120.44</v>
      </c>
      <c r="H36" s="160">
        <v>1198.44</v>
      </c>
      <c r="I36" s="161">
        <v>1284.44</v>
      </c>
      <c r="J36" s="160">
        <v>1420.44</v>
      </c>
      <c r="K36" s="161">
        <v>1541.44</v>
      </c>
      <c r="L36" s="160">
        <v>1564.8666666666663</v>
      </c>
      <c r="M36" s="161">
        <v>1600.8666666666663</v>
      </c>
    </row>
    <row r="37" spans="1:13" x14ac:dyDescent="0.2">
      <c r="A37" s="156"/>
      <c r="B37" s="167">
        <v>7000</v>
      </c>
      <c r="C37" s="161">
        <v>421.6</v>
      </c>
      <c r="D37" s="160">
        <v>604.20000000000005</v>
      </c>
      <c r="E37" s="161">
        <v>865.6</v>
      </c>
      <c r="F37" s="160">
        <v>981.48</v>
      </c>
      <c r="G37" s="161">
        <v>1062.48</v>
      </c>
      <c r="H37" s="160">
        <v>1138.48</v>
      </c>
      <c r="I37" s="161">
        <v>1220.48</v>
      </c>
      <c r="J37" s="160">
        <v>1352.48</v>
      </c>
      <c r="K37" s="161">
        <v>1469.48</v>
      </c>
      <c r="L37" s="160">
        <v>1439.36</v>
      </c>
      <c r="M37" s="161">
        <v>1471.36</v>
      </c>
    </row>
    <row r="38" spans="1:13" x14ac:dyDescent="0.2">
      <c r="A38" s="156"/>
      <c r="B38" s="167">
        <v>6500</v>
      </c>
      <c r="C38" s="161">
        <v>389.6</v>
      </c>
      <c r="D38" s="160">
        <v>557.70000000000005</v>
      </c>
      <c r="E38" s="161">
        <v>798.6</v>
      </c>
      <c r="F38" s="160">
        <v>914.98</v>
      </c>
      <c r="G38" s="161">
        <v>989.48</v>
      </c>
      <c r="H38" s="160">
        <v>1059.48</v>
      </c>
      <c r="I38" s="161">
        <v>1136.48</v>
      </c>
      <c r="J38" s="160">
        <v>1258.48</v>
      </c>
      <c r="K38" s="161">
        <v>1366.98</v>
      </c>
      <c r="L38" s="160">
        <v>1352.6933333333334</v>
      </c>
      <c r="M38" s="161">
        <v>1384.6933333333334</v>
      </c>
    </row>
    <row r="39" spans="1:13" x14ac:dyDescent="0.2">
      <c r="A39" s="156"/>
      <c r="B39" s="167">
        <v>6000</v>
      </c>
      <c r="C39" s="161">
        <v>354.71999999999997</v>
      </c>
      <c r="D39" s="160">
        <v>508.32000000000005</v>
      </c>
      <c r="E39" s="161">
        <v>728.72</v>
      </c>
      <c r="F39" s="160">
        <v>829.64</v>
      </c>
      <c r="G39" s="161">
        <v>895.64</v>
      </c>
      <c r="H39" s="160">
        <v>957.64</v>
      </c>
      <c r="I39" s="161">
        <v>1025.6399999999999</v>
      </c>
      <c r="J39" s="160">
        <v>1133.6399999999999</v>
      </c>
      <c r="K39" s="161">
        <v>1229.6399999999999</v>
      </c>
      <c r="L39" s="160">
        <v>1227.1866666666665</v>
      </c>
      <c r="M39" s="161">
        <v>1255.1866666666665</v>
      </c>
    </row>
    <row r="40" spans="1:13" x14ac:dyDescent="0.2">
      <c r="A40" s="156"/>
      <c r="B40" s="167">
        <v>5500</v>
      </c>
      <c r="C40" s="161">
        <v>334.71999999999997</v>
      </c>
      <c r="D40" s="160">
        <v>478.32000000000005</v>
      </c>
      <c r="E40" s="161">
        <v>683.72</v>
      </c>
      <c r="F40" s="160">
        <v>789.64</v>
      </c>
      <c r="G40" s="161">
        <v>855.64</v>
      </c>
      <c r="H40" s="160">
        <v>917.64</v>
      </c>
      <c r="I40" s="161">
        <v>985.64</v>
      </c>
      <c r="J40" s="160">
        <v>1093.6399999999999</v>
      </c>
      <c r="K40" s="161">
        <v>1189.6399999999999</v>
      </c>
      <c r="L40" s="160">
        <v>1187.1866666666665</v>
      </c>
      <c r="M40" s="161">
        <v>1215.1866666666665</v>
      </c>
    </row>
    <row r="41" spans="1:13" x14ac:dyDescent="0.2">
      <c r="A41" s="156"/>
      <c r="B41" s="167">
        <v>5000</v>
      </c>
      <c r="C41" s="161">
        <v>290.71999999999997</v>
      </c>
      <c r="D41" s="160">
        <v>419.82</v>
      </c>
      <c r="E41" s="161">
        <v>604.72</v>
      </c>
      <c r="F41" s="160">
        <v>683.18</v>
      </c>
      <c r="G41" s="161">
        <v>740.68</v>
      </c>
      <c r="H41" s="160">
        <v>794.68</v>
      </c>
      <c r="I41" s="161">
        <v>853.68</v>
      </c>
      <c r="J41" s="160">
        <v>947.68</v>
      </c>
      <c r="K41" s="161">
        <v>1031.1799999999998</v>
      </c>
      <c r="L41" s="160">
        <v>1040.56</v>
      </c>
      <c r="M41" s="161">
        <v>1064.56</v>
      </c>
    </row>
    <row r="42" spans="1:13" x14ac:dyDescent="0.2">
      <c r="A42" s="156"/>
      <c r="B42" s="167">
        <v>4500</v>
      </c>
      <c r="C42" s="161">
        <v>255.83999999999997</v>
      </c>
      <c r="D42" s="160">
        <v>370.44</v>
      </c>
      <c r="E42" s="161">
        <v>534.83999999999992</v>
      </c>
      <c r="F42" s="160">
        <v>613.79999999999995</v>
      </c>
      <c r="G42" s="161">
        <v>664.8</v>
      </c>
      <c r="H42" s="160">
        <v>712.8</v>
      </c>
      <c r="I42" s="161">
        <v>766.8</v>
      </c>
      <c r="J42" s="160">
        <v>850.8</v>
      </c>
      <c r="K42" s="161">
        <v>925.8</v>
      </c>
      <c r="L42" s="160">
        <v>951.01333333333332</v>
      </c>
      <c r="M42" s="161">
        <v>975.01333333333332</v>
      </c>
    </row>
    <row r="43" spans="1:13" x14ac:dyDescent="0.2">
      <c r="A43" s="156"/>
      <c r="B43" s="167">
        <v>4000</v>
      </c>
      <c r="C43" s="161">
        <v>235.83999999999997</v>
      </c>
      <c r="D43" s="160">
        <v>340.44</v>
      </c>
      <c r="E43" s="161">
        <v>489.84</v>
      </c>
      <c r="F43" s="160">
        <v>557.83999999999992</v>
      </c>
      <c r="G43" s="161">
        <v>606.83999999999992</v>
      </c>
      <c r="H43" s="160">
        <v>652.83999999999992</v>
      </c>
      <c r="I43" s="161">
        <v>702.83999999999992</v>
      </c>
      <c r="J43" s="160">
        <v>782.83999999999992</v>
      </c>
      <c r="K43" s="161">
        <v>853.83999999999992</v>
      </c>
      <c r="L43" s="160">
        <v>828.38666666666654</v>
      </c>
      <c r="M43" s="161">
        <v>848.38666666666654</v>
      </c>
    </row>
    <row r="44" spans="1:13" x14ac:dyDescent="0.2">
      <c r="A44" s="156"/>
      <c r="B44" s="167">
        <v>3500</v>
      </c>
      <c r="C44" s="161">
        <v>203.83999999999997</v>
      </c>
      <c r="D44" s="160">
        <v>293.94</v>
      </c>
      <c r="E44" s="161">
        <v>422.84</v>
      </c>
      <c r="F44" s="160">
        <v>491.34</v>
      </c>
      <c r="G44" s="161">
        <v>533.83999999999992</v>
      </c>
      <c r="H44" s="160">
        <v>573.83999999999992</v>
      </c>
      <c r="I44" s="161">
        <v>618.83999999999992</v>
      </c>
      <c r="J44" s="160">
        <v>688.83999999999992</v>
      </c>
      <c r="K44" s="161">
        <v>751.33999999999992</v>
      </c>
      <c r="L44" s="160">
        <v>738.83999999999992</v>
      </c>
      <c r="M44" s="161">
        <v>758.83999999999992</v>
      </c>
    </row>
    <row r="45" spans="1:13" x14ac:dyDescent="0.2">
      <c r="A45" s="156"/>
      <c r="B45" s="167">
        <v>3000</v>
      </c>
      <c r="C45" s="161">
        <v>168.95999999999998</v>
      </c>
      <c r="D45" s="160">
        <v>244.56</v>
      </c>
      <c r="E45" s="161">
        <v>352.96</v>
      </c>
      <c r="F45" s="160">
        <v>406</v>
      </c>
      <c r="G45" s="161">
        <v>440</v>
      </c>
      <c r="H45" s="160">
        <v>472</v>
      </c>
      <c r="I45" s="161">
        <v>508</v>
      </c>
      <c r="J45" s="160">
        <v>564</v>
      </c>
      <c r="K45" s="161">
        <v>614</v>
      </c>
      <c r="L45" s="160">
        <v>616.21333333333325</v>
      </c>
      <c r="M45" s="161">
        <v>632.21333333333325</v>
      </c>
    </row>
    <row r="46" spans="1:13" x14ac:dyDescent="0.2">
      <c r="A46" s="156"/>
      <c r="B46" s="167">
        <v>2500</v>
      </c>
      <c r="C46" s="161">
        <v>148.95999999999998</v>
      </c>
      <c r="D46" s="160">
        <v>214.56</v>
      </c>
      <c r="E46" s="161">
        <v>307.95999999999998</v>
      </c>
      <c r="F46" s="160">
        <v>366</v>
      </c>
      <c r="G46" s="161">
        <v>400</v>
      </c>
      <c r="H46" s="160">
        <v>432</v>
      </c>
      <c r="I46" s="161">
        <v>468</v>
      </c>
      <c r="J46" s="160">
        <v>524</v>
      </c>
      <c r="K46" s="161">
        <v>574</v>
      </c>
      <c r="L46" s="160">
        <v>576.21333333333325</v>
      </c>
      <c r="M46" s="161">
        <v>592.21333333333325</v>
      </c>
    </row>
    <row r="47" spans="1:13" x14ac:dyDescent="0.2">
      <c r="A47" s="156"/>
      <c r="B47" s="167">
        <v>2000</v>
      </c>
      <c r="C47" s="161">
        <v>116.95999999999998</v>
      </c>
      <c r="D47" s="160">
        <v>168.06</v>
      </c>
      <c r="E47" s="161">
        <v>240.95999999999998</v>
      </c>
      <c r="F47" s="160">
        <v>283.53999999999996</v>
      </c>
      <c r="G47" s="161">
        <v>309.03999999999996</v>
      </c>
      <c r="H47" s="160">
        <v>333.03999999999996</v>
      </c>
      <c r="I47" s="161">
        <v>360.03999999999996</v>
      </c>
      <c r="J47" s="160">
        <v>402.03999999999996</v>
      </c>
      <c r="K47" s="161">
        <v>439.53999999999996</v>
      </c>
      <c r="L47" s="160">
        <v>450.70666666666659</v>
      </c>
      <c r="M47" s="161">
        <v>462.70666666666659</v>
      </c>
    </row>
    <row r="48" spans="1:13" x14ac:dyDescent="0.2">
      <c r="A48" s="156"/>
      <c r="B48" s="167">
        <v>1500</v>
      </c>
      <c r="C48" s="161">
        <v>82.08</v>
      </c>
      <c r="D48" s="160">
        <v>118.68</v>
      </c>
      <c r="E48" s="161">
        <v>171.07999999999998</v>
      </c>
      <c r="F48" s="160">
        <v>214.16</v>
      </c>
      <c r="G48" s="161">
        <v>233.15999999999997</v>
      </c>
      <c r="H48" s="160">
        <v>251.15999999999997</v>
      </c>
      <c r="I48" s="161">
        <v>273.15999999999997</v>
      </c>
      <c r="J48" s="160">
        <v>305.15999999999997</v>
      </c>
      <c r="K48" s="161">
        <v>334.15999999999997</v>
      </c>
      <c r="L48" s="160">
        <v>364.03999999999996</v>
      </c>
      <c r="M48" s="161">
        <v>376.03999999999996</v>
      </c>
    </row>
    <row r="49" spans="1:18" x14ac:dyDescent="0.2">
      <c r="A49" s="156"/>
      <c r="B49" s="167">
        <v>1000</v>
      </c>
      <c r="C49" s="161">
        <v>62.08</v>
      </c>
      <c r="D49" s="160">
        <v>88.68</v>
      </c>
      <c r="E49" s="161">
        <v>126.08000000000001</v>
      </c>
      <c r="F49" s="160">
        <v>158.19999999999999</v>
      </c>
      <c r="G49" s="161">
        <v>175.2</v>
      </c>
      <c r="H49" s="160">
        <v>191.2</v>
      </c>
      <c r="I49" s="161">
        <v>209.2</v>
      </c>
      <c r="J49" s="160">
        <v>237.2</v>
      </c>
      <c r="K49" s="161">
        <v>262.2</v>
      </c>
      <c r="L49" s="160">
        <v>238.53333333333336</v>
      </c>
      <c r="M49" s="161">
        <v>246.53333333333336</v>
      </c>
    </row>
    <row r="50" spans="1:18" x14ac:dyDescent="0.2">
      <c r="A50" s="156"/>
      <c r="B50" s="167">
        <v>500</v>
      </c>
      <c r="C50" s="161">
        <v>30.08</v>
      </c>
      <c r="D50" s="160">
        <v>42.18</v>
      </c>
      <c r="E50" s="161">
        <v>59.08</v>
      </c>
      <c r="F50" s="160">
        <v>91.7</v>
      </c>
      <c r="G50" s="161">
        <v>102.2</v>
      </c>
      <c r="H50" s="160">
        <v>112.2</v>
      </c>
      <c r="I50" s="161">
        <v>125.2</v>
      </c>
      <c r="J50" s="160">
        <v>143.19999999999999</v>
      </c>
      <c r="K50" s="161">
        <v>159.69999999999999</v>
      </c>
      <c r="L50" s="160">
        <v>151.86666666666667</v>
      </c>
      <c r="M50" s="161">
        <v>159.86666666666667</v>
      </c>
    </row>
    <row r="51" spans="1:18" x14ac:dyDescent="0.2">
      <c r="A51" s="156"/>
    </row>
    <row r="52" spans="1:18" ht="15.75" x14ac:dyDescent="0.25">
      <c r="A52" s="156"/>
      <c r="B52" s="967" t="s">
        <v>1979</v>
      </c>
      <c r="C52" s="968"/>
      <c r="D52" s="968"/>
      <c r="E52" s="968"/>
      <c r="F52" s="968"/>
      <c r="G52" s="968"/>
      <c r="H52" s="159"/>
      <c r="I52" s="159"/>
      <c r="J52" s="159"/>
      <c r="K52" s="159"/>
      <c r="L52" s="159"/>
      <c r="M52" s="159"/>
      <c r="N52" s="172"/>
      <c r="O52" s="193">
        <f>INDEX(C54:M91,MATCH(p0q1,B54:B91,-1),MATCH(P0Q2,C53:M53))</f>
        <v>733.83999999999992</v>
      </c>
      <c r="P52" s="157"/>
      <c r="Q52" s="194">
        <f>IF(P0Q14="Galvanized",+O52,0)</f>
        <v>733.83999999999992</v>
      </c>
      <c r="R52" s="194" t="s">
        <v>1981</v>
      </c>
    </row>
    <row r="53" spans="1:18" x14ac:dyDescent="0.2">
      <c r="A53" s="156"/>
      <c r="B53" s="166">
        <v>0</v>
      </c>
      <c r="C53" s="166">
        <v>50</v>
      </c>
      <c r="D53" s="166">
        <v>100</v>
      </c>
      <c r="E53" s="166">
        <v>150</v>
      </c>
      <c r="F53" s="166">
        <v>200</v>
      </c>
      <c r="G53" s="166">
        <v>250</v>
      </c>
      <c r="H53" s="166">
        <v>300</v>
      </c>
      <c r="I53" s="166">
        <v>400</v>
      </c>
      <c r="J53" s="166">
        <v>500</v>
      </c>
      <c r="K53" s="166">
        <v>600</v>
      </c>
      <c r="L53" s="166">
        <v>700</v>
      </c>
      <c r="M53" s="171">
        <v>800</v>
      </c>
    </row>
    <row r="54" spans="1:18" x14ac:dyDescent="0.2">
      <c r="A54" s="156"/>
      <c r="B54" s="167">
        <v>20000</v>
      </c>
      <c r="C54" s="161">
        <v>1130.7199999999998</v>
      </c>
      <c r="D54" s="160">
        <v>1576.92</v>
      </c>
      <c r="E54" s="160">
        <v>2221.9199999999996</v>
      </c>
      <c r="F54" s="160">
        <v>2426.6799999999998</v>
      </c>
      <c r="G54" s="160">
        <v>2501.08</v>
      </c>
      <c r="H54" s="160">
        <v>2607.8799999999997</v>
      </c>
      <c r="I54" s="160">
        <v>2789.08</v>
      </c>
      <c r="J54" s="160">
        <v>3035.08</v>
      </c>
      <c r="K54" s="160">
        <v>3216.2799999999997</v>
      </c>
      <c r="L54" s="160">
        <v>3911.5199999999995</v>
      </c>
      <c r="M54" s="160">
        <v>3995.5199999999995</v>
      </c>
    </row>
    <row r="55" spans="1:18" x14ac:dyDescent="0.2">
      <c r="A55" s="156"/>
      <c r="B55" s="167">
        <v>19500</v>
      </c>
      <c r="C55" s="161">
        <v>1098.2399999999998</v>
      </c>
      <c r="D55" s="160">
        <v>1532.6399999999999</v>
      </c>
      <c r="E55" s="160">
        <v>2160.8399999999997</v>
      </c>
      <c r="F55" s="160">
        <v>2369.3999999999996</v>
      </c>
      <c r="G55" s="160">
        <v>2442.6</v>
      </c>
      <c r="H55" s="160">
        <v>2546.9999999999995</v>
      </c>
      <c r="I55" s="160">
        <v>2724.5999999999995</v>
      </c>
      <c r="J55" s="160">
        <v>2964.5999999999995</v>
      </c>
      <c r="K55" s="160">
        <v>3142.2</v>
      </c>
      <c r="L55" s="160">
        <v>3829.0199999999995</v>
      </c>
      <c r="M55" s="160">
        <v>3913.0199999999995</v>
      </c>
    </row>
    <row r="56" spans="1:18" x14ac:dyDescent="0.2">
      <c r="A56" s="156"/>
      <c r="B56" s="167">
        <v>19000</v>
      </c>
      <c r="C56" s="161">
        <v>1078.2399999999998</v>
      </c>
      <c r="D56" s="160">
        <v>1502.6399999999999</v>
      </c>
      <c r="E56" s="160">
        <v>2115.8399999999997</v>
      </c>
      <c r="F56" s="160">
        <v>2313.4399999999996</v>
      </c>
      <c r="G56" s="160">
        <v>2384.64</v>
      </c>
      <c r="H56" s="160">
        <v>2487.04</v>
      </c>
      <c r="I56" s="160">
        <v>2660.6399999999994</v>
      </c>
      <c r="J56" s="160">
        <v>2896.6399999999994</v>
      </c>
      <c r="K56" s="160">
        <v>3070.24</v>
      </c>
      <c r="L56" s="160">
        <v>3707.6799999999994</v>
      </c>
      <c r="M56" s="160">
        <v>3787.6799999999994</v>
      </c>
    </row>
    <row r="57" spans="1:18" x14ac:dyDescent="0.2">
      <c r="A57" s="156"/>
      <c r="B57" s="167">
        <v>18500</v>
      </c>
      <c r="C57" s="161">
        <v>1048.6399999999999</v>
      </c>
      <c r="D57" s="160">
        <v>1461.24</v>
      </c>
      <c r="E57" s="160">
        <v>2057.64</v>
      </c>
      <c r="F57" s="160">
        <v>2259.04</v>
      </c>
      <c r="G57" s="160">
        <v>2329.04</v>
      </c>
      <c r="H57" s="160">
        <v>2429.04</v>
      </c>
      <c r="I57" s="160">
        <v>2599.04</v>
      </c>
      <c r="J57" s="160">
        <v>2829.04</v>
      </c>
      <c r="K57" s="160">
        <v>2999.04</v>
      </c>
      <c r="L57" s="160">
        <v>3625.1799999999994</v>
      </c>
      <c r="M57" s="160">
        <v>3705.1799999999994</v>
      </c>
    </row>
    <row r="58" spans="1:18" x14ac:dyDescent="0.2">
      <c r="A58" s="156"/>
      <c r="B58" s="167">
        <v>18000</v>
      </c>
      <c r="C58" s="161">
        <v>1016.1599999999999</v>
      </c>
      <c r="D58" s="160">
        <v>1416.96</v>
      </c>
      <c r="E58" s="160">
        <v>1996.5599999999997</v>
      </c>
      <c r="F58" s="160">
        <v>2185.8000000000002</v>
      </c>
      <c r="G58" s="160">
        <v>2252.6</v>
      </c>
      <c r="H58" s="160">
        <v>2348.1999999999998</v>
      </c>
      <c r="I58" s="160">
        <v>2510.6</v>
      </c>
      <c r="J58" s="160">
        <v>2730.5999999999995</v>
      </c>
      <c r="K58" s="160">
        <v>2893</v>
      </c>
      <c r="L58" s="160">
        <v>3503.84</v>
      </c>
      <c r="M58" s="160">
        <v>3579.84</v>
      </c>
    </row>
    <row r="59" spans="1:18" x14ac:dyDescent="0.2">
      <c r="A59" s="156"/>
      <c r="B59" s="167">
        <v>17500</v>
      </c>
      <c r="C59" s="161">
        <v>996.15999999999985</v>
      </c>
      <c r="D59" s="160">
        <v>1386.96</v>
      </c>
      <c r="E59" s="160">
        <v>1951.5599999999997</v>
      </c>
      <c r="F59" s="160">
        <v>2145.8000000000002</v>
      </c>
      <c r="G59" s="160">
        <v>2212.6</v>
      </c>
      <c r="H59" s="160">
        <v>2308.1999999999998</v>
      </c>
      <c r="I59" s="160">
        <v>2470.6</v>
      </c>
      <c r="J59" s="160">
        <v>2690.5999999999995</v>
      </c>
      <c r="K59" s="160">
        <v>2853</v>
      </c>
      <c r="L59" s="160">
        <v>3463.84</v>
      </c>
      <c r="M59" s="160">
        <v>3539.84</v>
      </c>
    </row>
    <row r="60" spans="1:18" x14ac:dyDescent="0.2">
      <c r="A60" s="156"/>
      <c r="B60" s="167">
        <v>17000</v>
      </c>
      <c r="C60" s="161">
        <v>966.56</v>
      </c>
      <c r="D60" s="160">
        <v>1345.56</v>
      </c>
      <c r="E60" s="160">
        <v>1893.3599999999997</v>
      </c>
      <c r="F60" s="160">
        <v>2075.4399999999996</v>
      </c>
      <c r="G60" s="160">
        <v>2139.04</v>
      </c>
      <c r="H60" s="160">
        <v>2230.2399999999998</v>
      </c>
      <c r="I60" s="160">
        <v>2385.04</v>
      </c>
      <c r="J60" s="160">
        <v>2595.04</v>
      </c>
      <c r="K60" s="160">
        <v>2749.84</v>
      </c>
      <c r="L60" s="160">
        <v>3345.38</v>
      </c>
      <c r="M60" s="160">
        <v>3417.38</v>
      </c>
    </row>
    <row r="61" spans="1:18" x14ac:dyDescent="0.2">
      <c r="A61" s="156"/>
      <c r="B61" s="167">
        <v>16500</v>
      </c>
      <c r="C61" s="161">
        <v>934.07999999999993</v>
      </c>
      <c r="D61" s="160">
        <v>1301.28</v>
      </c>
      <c r="E61" s="160">
        <v>1832.2799999999997</v>
      </c>
      <c r="F61" s="160">
        <v>2018.1599999999999</v>
      </c>
      <c r="G61" s="160">
        <v>2080.5599999999995</v>
      </c>
      <c r="H61" s="160">
        <v>2169.36</v>
      </c>
      <c r="I61" s="160">
        <v>2320.56</v>
      </c>
      <c r="J61" s="160">
        <v>2524.56</v>
      </c>
      <c r="K61" s="160">
        <v>2675.7599999999998</v>
      </c>
      <c r="L61" s="160">
        <v>3260</v>
      </c>
      <c r="M61" s="160">
        <v>3332</v>
      </c>
    </row>
    <row r="62" spans="1:18" x14ac:dyDescent="0.2">
      <c r="A62" s="156"/>
      <c r="B62" s="167">
        <v>16000</v>
      </c>
      <c r="C62" s="161">
        <v>914.08</v>
      </c>
      <c r="D62" s="160">
        <v>1271.2800000000002</v>
      </c>
      <c r="E62" s="160">
        <v>1787.28</v>
      </c>
      <c r="F62" s="160">
        <v>1962.2</v>
      </c>
      <c r="G62" s="160">
        <v>2022.6000000000001</v>
      </c>
      <c r="H62" s="160">
        <v>2109.4</v>
      </c>
      <c r="I62" s="160">
        <v>2256.6</v>
      </c>
      <c r="J62" s="160">
        <v>2456.6</v>
      </c>
      <c r="K62" s="160">
        <v>2603.8000000000002</v>
      </c>
      <c r="L62" s="160">
        <v>3141.5400000000004</v>
      </c>
      <c r="M62" s="160">
        <v>3209.5400000000004</v>
      </c>
    </row>
    <row r="63" spans="1:18" x14ac:dyDescent="0.2">
      <c r="A63" s="156"/>
      <c r="B63" s="167">
        <v>15500</v>
      </c>
      <c r="C63" s="161">
        <v>884.48</v>
      </c>
      <c r="D63" s="160">
        <v>1229.8800000000001</v>
      </c>
      <c r="E63" s="160">
        <v>1729.08</v>
      </c>
      <c r="F63" s="160">
        <v>1907.8</v>
      </c>
      <c r="G63" s="160">
        <v>1967</v>
      </c>
      <c r="H63" s="160">
        <v>2051.4</v>
      </c>
      <c r="I63" s="160">
        <v>2195</v>
      </c>
      <c r="J63" s="160">
        <v>2389</v>
      </c>
      <c r="K63" s="160">
        <v>2532.6</v>
      </c>
      <c r="L63" s="160">
        <v>3056.1600000000003</v>
      </c>
      <c r="M63" s="160">
        <v>3124.1600000000003</v>
      </c>
    </row>
    <row r="64" spans="1:18" x14ac:dyDescent="0.2">
      <c r="A64" s="156"/>
      <c r="B64" s="167">
        <v>15000</v>
      </c>
      <c r="C64" s="161">
        <v>840</v>
      </c>
      <c r="D64" s="160">
        <v>1173.6000000000001</v>
      </c>
      <c r="E64" s="160">
        <v>1656</v>
      </c>
      <c r="F64" s="160">
        <v>1810.56</v>
      </c>
      <c r="G64" s="160">
        <v>1866.56</v>
      </c>
      <c r="H64" s="160">
        <v>1946.56</v>
      </c>
      <c r="I64" s="160">
        <v>2082.56</v>
      </c>
      <c r="J64" s="160">
        <v>2266.56</v>
      </c>
      <c r="K64" s="160">
        <v>2402.56</v>
      </c>
      <c r="L64" s="160">
        <v>2913.7000000000003</v>
      </c>
      <c r="M64" s="160">
        <v>2977.7000000000003</v>
      </c>
    </row>
    <row r="65" spans="1:13" x14ac:dyDescent="0.2">
      <c r="A65" s="156"/>
      <c r="B65" s="167">
        <v>14500</v>
      </c>
      <c r="C65" s="161">
        <v>820</v>
      </c>
      <c r="D65" s="160">
        <v>1143.6000000000001</v>
      </c>
      <c r="E65" s="160">
        <v>1611</v>
      </c>
      <c r="F65" s="160">
        <v>1770.56</v>
      </c>
      <c r="G65" s="160">
        <v>1826.56</v>
      </c>
      <c r="H65" s="160">
        <v>1906.56</v>
      </c>
      <c r="I65" s="160">
        <v>2042.56</v>
      </c>
      <c r="J65" s="160">
        <v>2226.56</v>
      </c>
      <c r="K65" s="160">
        <v>2362.56</v>
      </c>
      <c r="L65" s="160">
        <v>2873.7000000000003</v>
      </c>
      <c r="M65" s="160">
        <v>2937.7000000000003</v>
      </c>
    </row>
    <row r="66" spans="1:13" x14ac:dyDescent="0.2">
      <c r="A66" s="156"/>
      <c r="B66" s="167">
        <v>14000</v>
      </c>
      <c r="C66" s="161">
        <v>790.40000000000009</v>
      </c>
      <c r="D66" s="160">
        <v>1102.2</v>
      </c>
      <c r="E66" s="160">
        <v>1552.8</v>
      </c>
      <c r="F66" s="160">
        <v>1700.2000000000003</v>
      </c>
      <c r="G66" s="160">
        <v>1753.0000000000002</v>
      </c>
      <c r="H66" s="160">
        <v>1828.6000000000001</v>
      </c>
      <c r="I66" s="160">
        <v>1957.0000000000002</v>
      </c>
      <c r="J66" s="160">
        <v>2131</v>
      </c>
      <c r="K66" s="160">
        <v>2259.4</v>
      </c>
      <c r="L66" s="160">
        <v>2752.36</v>
      </c>
      <c r="M66" s="160">
        <v>2812.36</v>
      </c>
    </row>
    <row r="67" spans="1:13" x14ac:dyDescent="0.2">
      <c r="A67" s="156"/>
      <c r="B67" s="167">
        <v>13500</v>
      </c>
      <c r="C67" s="161">
        <v>757.92000000000007</v>
      </c>
      <c r="D67" s="160">
        <v>1057.92</v>
      </c>
      <c r="E67" s="160">
        <v>1491.72</v>
      </c>
      <c r="F67" s="160">
        <v>1642.92</v>
      </c>
      <c r="G67" s="160">
        <v>1694.5200000000002</v>
      </c>
      <c r="H67" s="160">
        <v>1767.7200000000003</v>
      </c>
      <c r="I67" s="160">
        <v>1892.5200000000002</v>
      </c>
      <c r="J67" s="160">
        <v>2060.52</v>
      </c>
      <c r="K67" s="160">
        <v>2185.3200000000002</v>
      </c>
      <c r="L67" s="160">
        <v>2669.86</v>
      </c>
      <c r="M67" s="160">
        <v>2729.86</v>
      </c>
    </row>
    <row r="68" spans="1:13" x14ac:dyDescent="0.2">
      <c r="A68" s="156"/>
      <c r="B68" s="167">
        <v>13000</v>
      </c>
      <c r="C68" s="161">
        <v>737.92000000000007</v>
      </c>
      <c r="D68" s="160">
        <v>1027.92</v>
      </c>
      <c r="E68" s="160">
        <v>1446.72</v>
      </c>
      <c r="F68" s="160">
        <v>1586.96</v>
      </c>
      <c r="G68" s="160">
        <v>1636.5600000000002</v>
      </c>
      <c r="H68" s="160">
        <v>1707.7600000000002</v>
      </c>
      <c r="I68" s="160">
        <v>1828.5600000000002</v>
      </c>
      <c r="J68" s="160">
        <v>1992.56</v>
      </c>
      <c r="K68" s="160">
        <v>2113.36</v>
      </c>
      <c r="L68" s="160">
        <v>2548.52</v>
      </c>
      <c r="M68" s="160">
        <v>2604.52</v>
      </c>
    </row>
    <row r="69" spans="1:13" x14ac:dyDescent="0.2">
      <c r="A69" s="156"/>
      <c r="B69" s="167">
        <v>12500</v>
      </c>
      <c r="C69" s="161">
        <v>708.32</v>
      </c>
      <c r="D69" s="160">
        <v>986.5200000000001</v>
      </c>
      <c r="E69" s="160">
        <v>1388.52</v>
      </c>
      <c r="F69" s="160">
        <v>1532.5600000000002</v>
      </c>
      <c r="G69" s="160">
        <v>1580.96</v>
      </c>
      <c r="H69" s="160">
        <v>1649.7600000000002</v>
      </c>
      <c r="I69" s="160">
        <v>1766.96</v>
      </c>
      <c r="J69" s="160">
        <v>1924.96</v>
      </c>
      <c r="K69" s="160">
        <v>2042.16</v>
      </c>
      <c r="L69" s="160">
        <v>2466.02</v>
      </c>
      <c r="M69" s="160">
        <v>2522.02</v>
      </c>
    </row>
    <row r="70" spans="1:13" x14ac:dyDescent="0.2">
      <c r="A70" s="156"/>
      <c r="B70" s="167">
        <v>12000</v>
      </c>
      <c r="C70" s="161">
        <v>675.84</v>
      </c>
      <c r="D70" s="160">
        <v>942.24</v>
      </c>
      <c r="E70" s="160">
        <v>1327.44</v>
      </c>
      <c r="F70" s="160">
        <v>1459.3200000000002</v>
      </c>
      <c r="G70" s="160">
        <v>1504.52</v>
      </c>
      <c r="H70" s="160">
        <v>1568.92</v>
      </c>
      <c r="I70" s="160">
        <v>1678.52</v>
      </c>
      <c r="J70" s="160">
        <v>1826.52</v>
      </c>
      <c r="K70" s="160">
        <v>1936.1200000000001</v>
      </c>
      <c r="L70" s="160">
        <v>2344.6800000000003</v>
      </c>
      <c r="M70" s="160">
        <v>2396.6800000000003</v>
      </c>
    </row>
    <row r="71" spans="1:13" x14ac:dyDescent="0.2">
      <c r="A71" s="156"/>
      <c r="B71" s="167">
        <v>11500</v>
      </c>
      <c r="C71" s="161">
        <v>655.84</v>
      </c>
      <c r="D71" s="160">
        <v>912.24</v>
      </c>
      <c r="E71" s="160">
        <v>1282.44</v>
      </c>
      <c r="F71" s="160">
        <v>1419.3200000000002</v>
      </c>
      <c r="G71" s="160">
        <v>1464.52</v>
      </c>
      <c r="H71" s="160">
        <v>1528.92</v>
      </c>
      <c r="I71" s="160">
        <v>1638.52</v>
      </c>
      <c r="J71" s="160">
        <v>1786.52</v>
      </c>
      <c r="K71" s="160">
        <v>1896.1200000000001</v>
      </c>
      <c r="L71" s="160">
        <v>2304.6800000000003</v>
      </c>
      <c r="M71" s="160">
        <v>2356.6800000000003</v>
      </c>
    </row>
    <row r="72" spans="1:13" x14ac:dyDescent="0.2">
      <c r="A72" s="156"/>
      <c r="B72" s="167">
        <v>11000</v>
      </c>
      <c r="C72" s="161">
        <v>626.24</v>
      </c>
      <c r="D72" s="160">
        <v>870.84</v>
      </c>
      <c r="E72" s="160">
        <v>1224.24</v>
      </c>
      <c r="F72" s="160">
        <v>1348.96</v>
      </c>
      <c r="G72" s="160">
        <v>1390.96</v>
      </c>
      <c r="H72" s="160">
        <v>1450.96</v>
      </c>
      <c r="I72" s="160">
        <v>1552.96</v>
      </c>
      <c r="J72" s="160">
        <v>1690.96</v>
      </c>
      <c r="K72" s="160">
        <v>1792.96</v>
      </c>
      <c r="L72" s="160">
        <v>2186.2200000000003</v>
      </c>
      <c r="M72" s="160">
        <v>2234.2200000000003</v>
      </c>
    </row>
    <row r="73" spans="1:13" x14ac:dyDescent="0.2">
      <c r="A73" s="156"/>
      <c r="B73" s="167">
        <v>10500</v>
      </c>
      <c r="C73" s="161">
        <v>593.76</v>
      </c>
      <c r="D73" s="160">
        <v>826.56000000000006</v>
      </c>
      <c r="E73" s="161">
        <v>1163.1600000000001</v>
      </c>
      <c r="F73" s="160">
        <v>1291.68</v>
      </c>
      <c r="G73" s="161">
        <v>1332.48</v>
      </c>
      <c r="H73" s="160">
        <v>1390.0800000000002</v>
      </c>
      <c r="I73" s="161">
        <v>1488.48</v>
      </c>
      <c r="J73" s="160">
        <v>1620.48</v>
      </c>
      <c r="K73" s="161">
        <v>1718.88</v>
      </c>
      <c r="L73" s="160">
        <v>2100.84</v>
      </c>
      <c r="M73" s="161">
        <v>2148.84</v>
      </c>
    </row>
    <row r="74" spans="1:13" x14ac:dyDescent="0.2">
      <c r="A74" s="156"/>
      <c r="B74" s="167">
        <v>10000</v>
      </c>
      <c r="C74" s="161">
        <v>561.76</v>
      </c>
      <c r="D74" s="161">
        <v>784.56000000000006</v>
      </c>
      <c r="E74" s="161">
        <v>1106.1600000000001</v>
      </c>
      <c r="F74" s="161">
        <v>1211.72</v>
      </c>
      <c r="G74" s="161">
        <v>1250.52</v>
      </c>
      <c r="H74" s="161">
        <v>1306.1200000000001</v>
      </c>
      <c r="I74" s="161">
        <v>1400.52</v>
      </c>
      <c r="J74" s="161">
        <v>1528.52</v>
      </c>
      <c r="K74" s="161">
        <v>1622.92</v>
      </c>
      <c r="L74" s="161">
        <v>1958.38</v>
      </c>
      <c r="M74" s="161">
        <v>2002.38</v>
      </c>
    </row>
    <row r="75" spans="1:13" x14ac:dyDescent="0.2">
      <c r="A75" s="156"/>
      <c r="B75" s="167">
        <v>9500</v>
      </c>
      <c r="C75" s="161">
        <v>532.16000000000008</v>
      </c>
      <c r="D75" s="160">
        <v>743.16000000000008</v>
      </c>
      <c r="E75" s="161">
        <v>1047.96</v>
      </c>
      <c r="F75" s="160">
        <v>1157.3200000000002</v>
      </c>
      <c r="G75" s="161">
        <v>1194.92</v>
      </c>
      <c r="H75" s="160">
        <v>1248.1200000000001</v>
      </c>
      <c r="I75" s="161">
        <v>1338.92</v>
      </c>
      <c r="J75" s="160">
        <v>1460.92</v>
      </c>
      <c r="K75" s="161">
        <v>1551.72</v>
      </c>
      <c r="L75" s="160">
        <v>1873</v>
      </c>
      <c r="M75" s="161">
        <v>1917</v>
      </c>
    </row>
    <row r="76" spans="1:13" x14ac:dyDescent="0.2">
      <c r="A76" s="156"/>
      <c r="B76" s="167">
        <v>9000</v>
      </c>
      <c r="C76" s="161">
        <v>499.68000000000006</v>
      </c>
      <c r="D76" s="160">
        <v>698.88000000000011</v>
      </c>
      <c r="E76" s="161">
        <v>986.88</v>
      </c>
      <c r="F76" s="160">
        <v>1084.08</v>
      </c>
      <c r="G76" s="161">
        <v>1118.48</v>
      </c>
      <c r="H76" s="160">
        <v>1167.2800000000002</v>
      </c>
      <c r="I76" s="161">
        <v>1250.48</v>
      </c>
      <c r="J76" s="160">
        <v>1362.48</v>
      </c>
      <c r="K76" s="161">
        <v>1445.6799999999998</v>
      </c>
      <c r="L76" s="160">
        <v>1754.54</v>
      </c>
      <c r="M76" s="161">
        <v>1794.54</v>
      </c>
    </row>
    <row r="77" spans="1:13" x14ac:dyDescent="0.2">
      <c r="A77" s="156"/>
      <c r="B77" s="167">
        <v>8500</v>
      </c>
      <c r="C77" s="161">
        <v>479.68000000000006</v>
      </c>
      <c r="D77" s="160">
        <v>668.88000000000011</v>
      </c>
      <c r="E77" s="161">
        <v>941.88</v>
      </c>
      <c r="F77" s="160">
        <v>1044.08</v>
      </c>
      <c r="G77" s="161">
        <v>1078.48</v>
      </c>
      <c r="H77" s="160">
        <v>1127.2800000000002</v>
      </c>
      <c r="I77" s="161">
        <v>1210.48</v>
      </c>
      <c r="J77" s="160">
        <v>1322.48</v>
      </c>
      <c r="K77" s="161">
        <v>1405.6799999999998</v>
      </c>
      <c r="L77" s="160">
        <v>1714.54</v>
      </c>
      <c r="M77" s="161">
        <v>1754.54</v>
      </c>
    </row>
    <row r="78" spans="1:13" x14ac:dyDescent="0.2">
      <c r="A78" s="156"/>
      <c r="B78" s="167">
        <v>8000</v>
      </c>
      <c r="C78" s="161">
        <v>450.08</v>
      </c>
      <c r="D78" s="160">
        <v>627.48</v>
      </c>
      <c r="E78" s="161">
        <v>883.68000000000006</v>
      </c>
      <c r="F78" s="160">
        <v>973.71999999999991</v>
      </c>
      <c r="G78" s="161">
        <v>1004.92</v>
      </c>
      <c r="H78" s="160">
        <v>1049.32</v>
      </c>
      <c r="I78" s="161">
        <v>1124.92</v>
      </c>
      <c r="J78" s="160">
        <v>1226.92</v>
      </c>
      <c r="K78" s="161">
        <v>1302.52</v>
      </c>
      <c r="L78" s="160">
        <v>1593.1999999999998</v>
      </c>
      <c r="M78" s="161">
        <v>1629.1999999999998</v>
      </c>
    </row>
    <row r="79" spans="1:13" x14ac:dyDescent="0.2">
      <c r="A79" s="156"/>
      <c r="B79" s="167">
        <v>7500</v>
      </c>
      <c r="C79" s="161">
        <v>417.6</v>
      </c>
      <c r="D79" s="160">
        <v>583.20000000000005</v>
      </c>
      <c r="E79" s="161">
        <v>822.6</v>
      </c>
      <c r="F79" s="160">
        <v>916.43999999999994</v>
      </c>
      <c r="G79" s="161">
        <v>946.43999999999994</v>
      </c>
      <c r="H79" s="160">
        <v>988.43999999999994</v>
      </c>
      <c r="I79" s="161">
        <v>1060.44</v>
      </c>
      <c r="J79" s="160">
        <v>1156.44</v>
      </c>
      <c r="K79" s="161">
        <v>1228.44</v>
      </c>
      <c r="L79" s="160">
        <v>1510.6999999999998</v>
      </c>
      <c r="M79" s="161">
        <v>1546.6999999999998</v>
      </c>
    </row>
    <row r="80" spans="1:13" x14ac:dyDescent="0.2">
      <c r="A80" s="156"/>
      <c r="B80" s="167">
        <v>7000</v>
      </c>
      <c r="C80" s="161">
        <v>397.6</v>
      </c>
      <c r="D80" s="160">
        <v>553.20000000000005</v>
      </c>
      <c r="E80" s="161">
        <v>777.6</v>
      </c>
      <c r="F80" s="160">
        <v>860.48</v>
      </c>
      <c r="G80" s="161">
        <v>888.48</v>
      </c>
      <c r="H80" s="160">
        <v>928.48</v>
      </c>
      <c r="I80" s="161">
        <v>996.48</v>
      </c>
      <c r="J80" s="160">
        <v>1088.48</v>
      </c>
      <c r="K80" s="161">
        <v>1156.48</v>
      </c>
      <c r="L80" s="160">
        <v>1389.36</v>
      </c>
      <c r="M80" s="161">
        <v>1421.36</v>
      </c>
    </row>
    <row r="81" spans="1:18" x14ac:dyDescent="0.2">
      <c r="A81" s="156"/>
      <c r="B81" s="167">
        <v>6500</v>
      </c>
      <c r="C81" s="161">
        <v>368</v>
      </c>
      <c r="D81" s="160">
        <v>511.8</v>
      </c>
      <c r="E81" s="161">
        <v>719.40000000000009</v>
      </c>
      <c r="F81" s="160">
        <v>806.07999999999993</v>
      </c>
      <c r="G81" s="161">
        <v>832.88000000000011</v>
      </c>
      <c r="H81" s="160">
        <v>870.48</v>
      </c>
      <c r="I81" s="161">
        <v>934.87999999999988</v>
      </c>
      <c r="J81" s="160">
        <v>1020.8799999999999</v>
      </c>
      <c r="K81" s="161">
        <v>1085.28</v>
      </c>
      <c r="L81" s="160">
        <v>1306.8599999999999</v>
      </c>
      <c r="M81" s="161">
        <v>1338.86</v>
      </c>
    </row>
    <row r="82" spans="1:18" x14ac:dyDescent="0.2">
      <c r="A82" s="156"/>
      <c r="B82" s="167">
        <v>6000</v>
      </c>
      <c r="C82" s="161">
        <v>335.52</v>
      </c>
      <c r="D82" s="160">
        <v>467.52</v>
      </c>
      <c r="E82" s="161">
        <v>658.32</v>
      </c>
      <c r="F82" s="160">
        <v>732.84</v>
      </c>
      <c r="G82" s="161">
        <v>756.44</v>
      </c>
      <c r="H82" s="160">
        <v>789.64</v>
      </c>
      <c r="I82" s="161">
        <v>846.44</v>
      </c>
      <c r="J82" s="160">
        <v>922.44</v>
      </c>
      <c r="K82" s="161">
        <v>979.24</v>
      </c>
      <c r="L82" s="160">
        <v>1185.52</v>
      </c>
      <c r="M82" s="161">
        <v>1213.52</v>
      </c>
    </row>
    <row r="83" spans="1:18" x14ac:dyDescent="0.2">
      <c r="A83" s="156"/>
      <c r="B83" s="167">
        <v>5500</v>
      </c>
      <c r="C83" s="161">
        <v>315.52</v>
      </c>
      <c r="D83" s="160">
        <v>437.52</v>
      </c>
      <c r="E83" s="161">
        <v>613.31999999999994</v>
      </c>
      <c r="F83" s="160">
        <v>692.84</v>
      </c>
      <c r="G83" s="161">
        <v>716.44</v>
      </c>
      <c r="H83" s="160">
        <v>749.64</v>
      </c>
      <c r="I83" s="161">
        <v>806.44</v>
      </c>
      <c r="J83" s="160">
        <v>882.44</v>
      </c>
      <c r="K83" s="161">
        <v>939.24</v>
      </c>
      <c r="L83" s="160">
        <v>1145.52</v>
      </c>
      <c r="M83" s="161">
        <v>1173.52</v>
      </c>
    </row>
    <row r="84" spans="1:18" x14ac:dyDescent="0.2">
      <c r="A84" s="156"/>
      <c r="B84" s="167">
        <v>5000</v>
      </c>
      <c r="C84" s="161">
        <v>273.91999999999996</v>
      </c>
      <c r="D84" s="160">
        <v>384.12</v>
      </c>
      <c r="E84" s="161">
        <v>543.12</v>
      </c>
      <c r="F84" s="160">
        <v>598.48</v>
      </c>
      <c r="G84" s="161">
        <v>618.88</v>
      </c>
      <c r="H84" s="160">
        <v>647.67999999999995</v>
      </c>
      <c r="I84" s="161">
        <v>696.88</v>
      </c>
      <c r="J84" s="160">
        <v>762.88</v>
      </c>
      <c r="K84" s="161">
        <v>812.07999999999993</v>
      </c>
      <c r="L84" s="160">
        <v>1003.06</v>
      </c>
      <c r="M84" s="161">
        <v>1027.06</v>
      </c>
    </row>
    <row r="85" spans="1:18" x14ac:dyDescent="0.2">
      <c r="A85" s="156"/>
      <c r="B85" s="167">
        <v>4500</v>
      </c>
      <c r="C85" s="161">
        <v>241.44</v>
      </c>
      <c r="D85" s="160">
        <v>339.84000000000003</v>
      </c>
      <c r="E85" s="161">
        <v>482.03999999999996</v>
      </c>
      <c r="F85" s="160">
        <v>541.19999999999993</v>
      </c>
      <c r="G85" s="161">
        <v>560.4</v>
      </c>
      <c r="H85" s="160">
        <v>586.79999999999995</v>
      </c>
      <c r="I85" s="161">
        <v>632.4</v>
      </c>
      <c r="J85" s="160">
        <v>692.4</v>
      </c>
      <c r="K85" s="161">
        <v>738</v>
      </c>
      <c r="L85" s="160">
        <v>917.68</v>
      </c>
      <c r="M85" s="161">
        <v>941.68</v>
      </c>
    </row>
    <row r="86" spans="1:18" x14ac:dyDescent="0.2">
      <c r="A86" s="156"/>
      <c r="B86" s="167">
        <v>4000</v>
      </c>
      <c r="C86" s="161">
        <v>221.44</v>
      </c>
      <c r="D86" s="160">
        <v>309.83999999999997</v>
      </c>
      <c r="E86" s="161">
        <v>437.03999999999996</v>
      </c>
      <c r="F86" s="160">
        <v>485.23999999999995</v>
      </c>
      <c r="G86" s="161">
        <v>502.44</v>
      </c>
      <c r="H86" s="160">
        <v>526.83999999999992</v>
      </c>
      <c r="I86" s="161">
        <v>568.44000000000005</v>
      </c>
      <c r="J86" s="160">
        <v>624.44000000000005</v>
      </c>
      <c r="K86" s="161">
        <v>666.04</v>
      </c>
      <c r="L86" s="160">
        <v>799.22</v>
      </c>
      <c r="M86" s="161">
        <v>819.22</v>
      </c>
    </row>
    <row r="87" spans="1:18" x14ac:dyDescent="0.2">
      <c r="A87" s="156"/>
      <c r="B87" s="167">
        <v>3500</v>
      </c>
      <c r="C87" s="161">
        <v>191.83999999999997</v>
      </c>
      <c r="D87" s="160">
        <v>268.44</v>
      </c>
      <c r="E87" s="161">
        <v>378.84</v>
      </c>
      <c r="F87" s="160">
        <v>430.84</v>
      </c>
      <c r="G87" s="161">
        <v>446.84</v>
      </c>
      <c r="H87" s="160">
        <v>468.84</v>
      </c>
      <c r="I87" s="161">
        <v>506.84</v>
      </c>
      <c r="J87" s="160">
        <v>556.83999999999992</v>
      </c>
      <c r="K87" s="161">
        <v>594.83999999999992</v>
      </c>
      <c r="L87" s="160">
        <v>713.83999999999992</v>
      </c>
      <c r="M87" s="161">
        <v>733.83999999999992</v>
      </c>
    </row>
    <row r="88" spans="1:18" x14ac:dyDescent="0.2">
      <c r="A88" s="156"/>
      <c r="B88" s="167">
        <v>3000</v>
      </c>
      <c r="C88" s="161">
        <v>159.35999999999999</v>
      </c>
      <c r="D88" s="160">
        <v>224.15999999999997</v>
      </c>
      <c r="E88" s="161">
        <v>317.76</v>
      </c>
      <c r="F88" s="160">
        <v>357.6</v>
      </c>
      <c r="G88" s="161">
        <v>370.4</v>
      </c>
      <c r="H88" s="160">
        <v>388</v>
      </c>
      <c r="I88" s="161">
        <v>418.4</v>
      </c>
      <c r="J88" s="160">
        <v>458.4</v>
      </c>
      <c r="K88" s="161">
        <v>488.79999999999995</v>
      </c>
      <c r="L88" s="160">
        <v>595.38</v>
      </c>
      <c r="M88" s="161">
        <v>611.38</v>
      </c>
    </row>
    <row r="89" spans="1:18" x14ac:dyDescent="0.2">
      <c r="A89" s="156"/>
      <c r="B89" s="167">
        <v>2500</v>
      </c>
      <c r="C89" s="161">
        <v>139.35999999999999</v>
      </c>
      <c r="D89" s="160">
        <v>194.15999999999997</v>
      </c>
      <c r="E89" s="161">
        <v>272.76</v>
      </c>
      <c r="F89" s="160">
        <v>317.59999999999997</v>
      </c>
      <c r="G89" s="161">
        <v>330.4</v>
      </c>
      <c r="H89" s="160">
        <v>348</v>
      </c>
      <c r="I89" s="161">
        <v>378.4</v>
      </c>
      <c r="J89" s="160">
        <v>418.4</v>
      </c>
      <c r="K89" s="161">
        <v>448.79999999999995</v>
      </c>
      <c r="L89" s="160">
        <v>555.38</v>
      </c>
      <c r="M89" s="161">
        <v>571.38</v>
      </c>
    </row>
    <row r="90" spans="1:18" x14ac:dyDescent="0.2">
      <c r="A90" s="156"/>
      <c r="B90" s="167">
        <v>2000</v>
      </c>
      <c r="C90" s="161">
        <v>109.75999999999999</v>
      </c>
      <c r="D90" s="160">
        <v>152.76</v>
      </c>
      <c r="E90" s="161">
        <v>214.55999999999997</v>
      </c>
      <c r="F90" s="160">
        <v>247.23999999999995</v>
      </c>
      <c r="G90" s="161">
        <v>256.83999999999997</v>
      </c>
      <c r="H90" s="160">
        <v>270.03999999999996</v>
      </c>
      <c r="I90" s="161">
        <v>292.83999999999997</v>
      </c>
      <c r="J90" s="160">
        <v>322.83999999999997</v>
      </c>
      <c r="K90" s="161">
        <v>345.64</v>
      </c>
      <c r="L90" s="160">
        <v>434.03999999999996</v>
      </c>
      <c r="M90" s="161">
        <v>446.03999999999996</v>
      </c>
    </row>
    <row r="91" spans="1:18" x14ac:dyDescent="0.2">
      <c r="A91" s="156"/>
      <c r="B91" s="167">
        <v>1500</v>
      </c>
      <c r="C91" s="161">
        <v>77.28</v>
      </c>
      <c r="D91" s="160">
        <v>108.47999999999999</v>
      </c>
      <c r="E91" s="161">
        <v>153.47999999999999</v>
      </c>
      <c r="F91" s="160">
        <v>189.95999999999998</v>
      </c>
      <c r="G91" s="161">
        <v>198.35999999999999</v>
      </c>
      <c r="H91" s="160">
        <v>209.16</v>
      </c>
      <c r="I91" s="161">
        <v>228.35999999999999</v>
      </c>
      <c r="J91" s="160">
        <v>252.35999999999999</v>
      </c>
      <c r="K91" s="161">
        <v>271.56</v>
      </c>
      <c r="L91" s="160">
        <v>351.53999999999996</v>
      </c>
      <c r="M91" s="161">
        <v>363.53999999999996</v>
      </c>
    </row>
    <row r="92" spans="1:18" x14ac:dyDescent="0.2">
      <c r="A92" s="156"/>
      <c r="B92" s="167">
        <v>1000</v>
      </c>
      <c r="C92" s="161">
        <v>57.28</v>
      </c>
      <c r="D92" s="160">
        <v>78.47999999999999</v>
      </c>
      <c r="E92" s="161">
        <v>108.48</v>
      </c>
      <c r="F92" s="160">
        <v>134</v>
      </c>
      <c r="G92" s="161">
        <v>140.4</v>
      </c>
      <c r="H92" s="160">
        <v>149.19999999999999</v>
      </c>
      <c r="I92" s="161">
        <v>164.4</v>
      </c>
      <c r="J92" s="160">
        <v>184.40000000000003</v>
      </c>
      <c r="K92" s="161">
        <v>199.60000000000002</v>
      </c>
      <c r="L92" s="160">
        <v>230.2</v>
      </c>
      <c r="M92" s="161">
        <v>238.2</v>
      </c>
    </row>
    <row r="93" spans="1:18" x14ac:dyDescent="0.2">
      <c r="A93" s="156"/>
      <c r="B93" s="167">
        <v>500</v>
      </c>
      <c r="C93" s="161">
        <v>27.68</v>
      </c>
      <c r="D93" s="160">
        <v>37.08</v>
      </c>
      <c r="E93" s="161">
        <v>50.28</v>
      </c>
      <c r="F93" s="160">
        <v>79.599999999999994</v>
      </c>
      <c r="G93" s="161">
        <v>84.8</v>
      </c>
      <c r="H93" s="160">
        <v>91.2</v>
      </c>
      <c r="I93" s="161">
        <v>102.8</v>
      </c>
      <c r="J93" s="160">
        <v>116.8</v>
      </c>
      <c r="K93" s="161">
        <v>128.39999999999998</v>
      </c>
      <c r="L93" s="160">
        <v>147.69999999999999</v>
      </c>
      <c r="M93" s="161">
        <v>155.69999999999999</v>
      </c>
    </row>
    <row r="94" spans="1:18" x14ac:dyDescent="0.2">
      <c r="A94" s="156"/>
    </row>
    <row r="95" spans="1:18" x14ac:dyDescent="0.2">
      <c r="A95" s="156"/>
    </row>
    <row r="96" spans="1:18" s="157" customFormat="1" ht="15.6" customHeight="1" x14ac:dyDescent="0.25">
      <c r="A96" s="158"/>
      <c r="B96" s="968" t="s">
        <v>707</v>
      </c>
      <c r="C96" s="968"/>
      <c r="D96" s="968"/>
      <c r="E96" s="968"/>
      <c r="F96" s="968"/>
      <c r="G96" s="159"/>
      <c r="H96" s="159"/>
      <c r="I96" s="159"/>
      <c r="J96" s="159"/>
      <c r="K96" s="159"/>
      <c r="L96" s="159"/>
      <c r="M96" s="170">
        <f>+quote22</f>
        <v>1</v>
      </c>
      <c r="N96" s="159"/>
      <c r="O96" s="193">
        <f>IF(quote24="Steel",HLOOKUP(P0Q2,C98:M100,2,FALSE),HLOOKUP(P0Q2,C98:M100,3,FALSE))</f>
        <v>306.5</v>
      </c>
      <c r="Q96" s="194">
        <f>IF(ISERROR(O96),0,+O96*M96)</f>
        <v>306.5</v>
      </c>
      <c r="R96" s="194" t="s">
        <v>1982</v>
      </c>
    </row>
    <row r="97" spans="1:18" ht="13.15" customHeight="1" x14ac:dyDescent="0.25">
      <c r="A97" s="156"/>
      <c r="B97" s="969" t="s">
        <v>759</v>
      </c>
      <c r="C97" s="975" t="s">
        <v>709</v>
      </c>
      <c r="D97" s="976"/>
      <c r="E97" s="976"/>
      <c r="F97" s="976"/>
      <c r="G97" s="976"/>
      <c r="H97" s="976"/>
      <c r="I97" s="976"/>
      <c r="J97" s="976"/>
      <c r="K97" s="976"/>
      <c r="L97" s="976"/>
      <c r="M97" s="977"/>
      <c r="N97" s="159"/>
      <c r="O97" s="159"/>
    </row>
    <row r="98" spans="1:18" ht="15.75" x14ac:dyDescent="0.25">
      <c r="A98" s="156"/>
      <c r="B98" s="970"/>
      <c r="C98" s="166">
        <v>50</v>
      </c>
      <c r="D98" s="166">
        <v>100</v>
      </c>
      <c r="E98" s="166">
        <v>150</v>
      </c>
      <c r="F98" s="166">
        <v>200</v>
      </c>
      <c r="G98" s="166">
        <v>250</v>
      </c>
      <c r="H98" s="166">
        <v>300</v>
      </c>
      <c r="I98" s="166">
        <v>400</v>
      </c>
      <c r="J98" s="166">
        <v>500</v>
      </c>
      <c r="K98" s="166">
        <v>600</v>
      </c>
      <c r="L98" s="166">
        <v>700</v>
      </c>
      <c r="M98" s="166">
        <v>800</v>
      </c>
      <c r="N98" s="159"/>
      <c r="O98" s="159"/>
    </row>
    <row r="99" spans="1:18" x14ac:dyDescent="0.2">
      <c r="A99" s="156"/>
      <c r="B99" s="146" t="s">
        <v>760</v>
      </c>
      <c r="C99" s="164">
        <v>82.5</v>
      </c>
      <c r="D99" s="165">
        <v>91</v>
      </c>
      <c r="E99" s="164">
        <v>95.5</v>
      </c>
      <c r="F99" s="165">
        <v>112.5</v>
      </c>
      <c r="G99" s="164">
        <v>115.5</v>
      </c>
      <c r="H99" s="165">
        <v>126</v>
      </c>
      <c r="I99" s="164">
        <v>153</v>
      </c>
      <c r="J99" s="165">
        <v>171.5</v>
      </c>
      <c r="K99" s="164">
        <v>254</v>
      </c>
      <c r="L99" s="165">
        <v>248</v>
      </c>
      <c r="M99" s="164">
        <v>306.5</v>
      </c>
    </row>
    <row r="100" spans="1:18" x14ac:dyDescent="0.2">
      <c r="A100" s="156"/>
      <c r="B100" s="146" t="s">
        <v>761</v>
      </c>
      <c r="C100" s="164">
        <v>44.5</v>
      </c>
      <c r="D100" s="165">
        <v>45.5</v>
      </c>
      <c r="E100" s="164">
        <v>46</v>
      </c>
      <c r="F100" s="165">
        <v>47</v>
      </c>
      <c r="G100" s="164">
        <v>48</v>
      </c>
      <c r="H100" s="165">
        <v>48.5</v>
      </c>
      <c r="I100" s="164">
        <v>50.5</v>
      </c>
      <c r="J100" s="165">
        <v>52</v>
      </c>
      <c r="K100" s="164">
        <v>54</v>
      </c>
      <c r="L100" s="165">
        <v>55.5</v>
      </c>
      <c r="M100" s="164">
        <v>57</v>
      </c>
    </row>
    <row r="101" spans="1:18" x14ac:dyDescent="0.2">
      <c r="A101" s="156"/>
    </row>
    <row r="102" spans="1:18" ht="15.75" x14ac:dyDescent="0.25">
      <c r="A102" s="156"/>
      <c r="B102" s="967" t="s">
        <v>1983</v>
      </c>
      <c r="C102" s="968"/>
      <c r="D102" s="968"/>
      <c r="E102" s="968"/>
      <c r="F102" s="968"/>
    </row>
    <row r="103" spans="1:18" ht="15.75" x14ac:dyDescent="0.25">
      <c r="A103" s="156"/>
      <c r="B103" s="978" t="s">
        <v>568</v>
      </c>
      <c r="C103" s="974"/>
      <c r="E103" s="973" t="s">
        <v>729</v>
      </c>
      <c r="F103" s="974"/>
      <c r="I103" s="159"/>
      <c r="J103" s="159"/>
      <c r="K103" s="159"/>
      <c r="L103" s="159"/>
      <c r="M103" s="170">
        <f>+quote19</f>
        <v>3</v>
      </c>
      <c r="N103" s="159"/>
      <c r="O103" s="200">
        <f>+F104</f>
        <v>9.1080000000000005</v>
      </c>
      <c r="P103" s="157" t="s">
        <v>774</v>
      </c>
      <c r="Q103" s="194">
        <f>+O103*M103</f>
        <v>27.324000000000002</v>
      </c>
      <c r="R103" s="194" t="s">
        <v>2026</v>
      </c>
    </row>
    <row r="104" spans="1:18" ht="15.75" x14ac:dyDescent="0.25">
      <c r="A104" s="156"/>
      <c r="B104" s="201">
        <f t="shared" ref="B104:C117" si="0">+B$119+B118</f>
        <v>21000</v>
      </c>
      <c r="C104" s="169">
        <f t="shared" si="0"/>
        <v>381</v>
      </c>
      <c r="F104" s="169">
        <v>9.1080000000000005</v>
      </c>
      <c r="I104" s="159"/>
      <c r="J104" s="159"/>
      <c r="K104" s="159"/>
      <c r="L104" s="159"/>
      <c r="M104" s="170">
        <f>IF(quote19&lt;&gt;0,1,0)</f>
        <v>1</v>
      </c>
      <c r="O104" s="200">
        <f>INDEX(C104:C132,MATCH(p0q1,B104:B132,-1))</f>
        <v>66</v>
      </c>
      <c r="Q104" s="194">
        <f>+O104*M104</f>
        <v>66</v>
      </c>
      <c r="R104" s="194" t="s">
        <v>2028</v>
      </c>
    </row>
    <row r="105" spans="1:18" ht="15.75" x14ac:dyDescent="0.25">
      <c r="A105" s="156"/>
      <c r="B105" s="201">
        <f t="shared" si="0"/>
        <v>20000</v>
      </c>
      <c r="C105" s="169">
        <f t="shared" si="0"/>
        <v>358</v>
      </c>
      <c r="F105" s="494"/>
      <c r="I105" s="159"/>
      <c r="J105" s="159"/>
      <c r="K105" s="159"/>
      <c r="L105" s="159"/>
      <c r="M105" s="159"/>
      <c r="O105" s="198"/>
    </row>
    <row r="106" spans="1:18" ht="15.75" x14ac:dyDescent="0.25">
      <c r="A106" s="156"/>
      <c r="B106" s="201">
        <f t="shared" si="0"/>
        <v>19000</v>
      </c>
      <c r="C106" s="169">
        <f t="shared" si="0"/>
        <v>341</v>
      </c>
      <c r="F106" s="494"/>
      <c r="I106" s="159"/>
      <c r="J106" s="159"/>
      <c r="K106" s="159"/>
      <c r="L106" s="159"/>
      <c r="M106" s="159"/>
      <c r="O106" s="198"/>
    </row>
    <row r="107" spans="1:18" ht="15.75" x14ac:dyDescent="0.25">
      <c r="A107" s="156"/>
      <c r="B107" s="201">
        <f t="shared" si="0"/>
        <v>18000</v>
      </c>
      <c r="C107" s="169">
        <f t="shared" si="0"/>
        <v>323</v>
      </c>
      <c r="F107" s="494"/>
      <c r="I107" s="159"/>
      <c r="J107" s="159"/>
      <c r="K107" s="159"/>
      <c r="L107" s="159"/>
      <c r="M107" s="159"/>
      <c r="O107" s="198"/>
    </row>
    <row r="108" spans="1:18" ht="15.75" x14ac:dyDescent="0.25">
      <c r="A108" s="156"/>
      <c r="B108" s="201">
        <f t="shared" si="0"/>
        <v>17000</v>
      </c>
      <c r="C108" s="169">
        <f t="shared" si="0"/>
        <v>306</v>
      </c>
      <c r="F108" s="494"/>
      <c r="I108" s="159"/>
      <c r="J108" s="159"/>
      <c r="K108" s="159"/>
      <c r="L108" s="159"/>
      <c r="M108" s="159"/>
      <c r="O108" s="198"/>
    </row>
    <row r="109" spans="1:18" ht="15.75" x14ac:dyDescent="0.25">
      <c r="A109" s="156"/>
      <c r="B109" s="201">
        <f t="shared" si="0"/>
        <v>16000</v>
      </c>
      <c r="C109" s="169">
        <f t="shared" si="0"/>
        <v>289</v>
      </c>
      <c r="F109" s="494"/>
      <c r="I109" s="159"/>
      <c r="J109" s="159"/>
      <c r="K109" s="159"/>
      <c r="L109" s="159"/>
      <c r="M109" s="159"/>
      <c r="O109" s="198"/>
    </row>
    <row r="110" spans="1:18" ht="15.75" x14ac:dyDescent="0.25">
      <c r="A110" s="156"/>
      <c r="B110" s="201">
        <f t="shared" si="0"/>
        <v>15000</v>
      </c>
      <c r="C110" s="169">
        <f t="shared" si="0"/>
        <v>271</v>
      </c>
      <c r="F110" s="494"/>
      <c r="I110" s="159"/>
      <c r="J110" s="159"/>
      <c r="K110" s="159"/>
      <c r="L110" s="159"/>
      <c r="M110" s="159"/>
      <c r="O110" s="198"/>
    </row>
    <row r="111" spans="1:18" ht="15.75" x14ac:dyDescent="0.25">
      <c r="A111" s="156"/>
      <c r="B111" s="201">
        <f t="shared" si="0"/>
        <v>14500</v>
      </c>
      <c r="C111" s="169">
        <f t="shared" si="0"/>
        <v>263</v>
      </c>
      <c r="F111" s="494"/>
      <c r="I111" s="159"/>
      <c r="J111" s="159"/>
      <c r="K111" s="159"/>
      <c r="L111" s="159"/>
      <c r="M111" s="159"/>
      <c r="O111" s="198"/>
    </row>
    <row r="112" spans="1:18" ht="15.75" x14ac:dyDescent="0.25">
      <c r="A112" s="156"/>
      <c r="B112" s="201">
        <f t="shared" si="0"/>
        <v>14000</v>
      </c>
      <c r="C112" s="169">
        <f t="shared" si="0"/>
        <v>254</v>
      </c>
      <c r="F112" s="494"/>
      <c r="I112" s="159"/>
      <c r="J112" s="159"/>
      <c r="K112" s="159"/>
      <c r="L112" s="159"/>
      <c r="M112" s="159"/>
      <c r="O112" s="198"/>
    </row>
    <row r="113" spans="1:15" ht="15.75" x14ac:dyDescent="0.25">
      <c r="A113" s="156"/>
      <c r="B113" s="201">
        <f t="shared" si="0"/>
        <v>13500</v>
      </c>
      <c r="C113" s="169">
        <f t="shared" si="0"/>
        <v>245</v>
      </c>
      <c r="F113" s="494"/>
      <c r="I113" s="159"/>
      <c r="J113" s="159"/>
      <c r="K113" s="159"/>
      <c r="L113" s="159"/>
      <c r="M113" s="159"/>
      <c r="O113" s="198"/>
    </row>
    <row r="114" spans="1:15" ht="15.75" x14ac:dyDescent="0.25">
      <c r="A114" s="156"/>
      <c r="B114" s="201">
        <f t="shared" si="0"/>
        <v>13000</v>
      </c>
      <c r="C114" s="169">
        <f t="shared" si="0"/>
        <v>236</v>
      </c>
      <c r="F114" s="494"/>
      <c r="I114" s="159"/>
      <c r="J114" s="159"/>
      <c r="K114" s="159"/>
      <c r="L114" s="159"/>
      <c r="M114" s="159"/>
      <c r="O114" s="198"/>
    </row>
    <row r="115" spans="1:15" ht="15.75" x14ac:dyDescent="0.25">
      <c r="A115" s="156"/>
      <c r="B115" s="201">
        <f t="shared" si="0"/>
        <v>12500</v>
      </c>
      <c r="C115" s="169">
        <f t="shared" si="0"/>
        <v>228</v>
      </c>
      <c r="F115" s="494"/>
      <c r="I115" s="159"/>
      <c r="J115" s="159"/>
      <c r="K115" s="159"/>
      <c r="L115" s="159"/>
      <c r="M115" s="159"/>
      <c r="O115" s="198"/>
    </row>
    <row r="116" spans="1:15" ht="15.75" x14ac:dyDescent="0.25">
      <c r="A116" s="156"/>
      <c r="B116" s="201">
        <f t="shared" si="0"/>
        <v>12000</v>
      </c>
      <c r="C116" s="169">
        <f t="shared" si="0"/>
        <v>219</v>
      </c>
      <c r="F116" s="494"/>
      <c r="I116" s="159"/>
      <c r="J116" s="159"/>
      <c r="K116" s="159"/>
      <c r="L116" s="159"/>
      <c r="M116" s="159"/>
      <c r="O116" s="198"/>
    </row>
    <row r="117" spans="1:15" ht="15.75" x14ac:dyDescent="0.25">
      <c r="A117" s="156"/>
      <c r="B117" s="201">
        <f t="shared" si="0"/>
        <v>11500</v>
      </c>
      <c r="C117" s="169">
        <f t="shared" si="0"/>
        <v>210</v>
      </c>
      <c r="F117" s="494"/>
      <c r="I117" s="159"/>
      <c r="J117" s="159"/>
      <c r="K117" s="159"/>
      <c r="L117" s="159"/>
      <c r="M117" s="159"/>
      <c r="O117" s="198"/>
    </row>
    <row r="118" spans="1:15" ht="15.75" x14ac:dyDescent="0.25">
      <c r="A118" s="156"/>
      <c r="B118" s="201">
        <f>+B$119+B132</f>
        <v>11000</v>
      </c>
      <c r="C118" s="169">
        <f>+C$119+C132</f>
        <v>202</v>
      </c>
      <c r="F118" s="494"/>
      <c r="I118" s="159"/>
      <c r="J118" s="159"/>
      <c r="K118" s="159"/>
      <c r="L118" s="159"/>
      <c r="M118" s="159"/>
      <c r="O118" s="198"/>
    </row>
    <row r="119" spans="1:15" ht="15.75" x14ac:dyDescent="0.25">
      <c r="A119" s="156"/>
      <c r="B119" s="201">
        <v>10000</v>
      </c>
      <c r="C119" s="169">
        <v>179</v>
      </c>
      <c r="F119" s="494"/>
      <c r="I119" s="159"/>
      <c r="J119" s="159"/>
      <c r="K119" s="159"/>
      <c r="L119" s="159"/>
      <c r="M119" s="159"/>
      <c r="O119" s="198"/>
    </row>
    <row r="120" spans="1:15" x14ac:dyDescent="0.2">
      <c r="A120" s="156"/>
      <c r="B120" s="201">
        <v>9000</v>
      </c>
      <c r="C120" s="169">
        <v>162</v>
      </c>
      <c r="O120" s="198"/>
    </row>
    <row r="121" spans="1:15" x14ac:dyDescent="0.2">
      <c r="A121" s="156"/>
      <c r="B121" s="201">
        <v>8000</v>
      </c>
      <c r="C121" s="169">
        <v>144</v>
      </c>
      <c r="O121" s="198"/>
    </row>
    <row r="122" spans="1:15" x14ac:dyDescent="0.2">
      <c r="A122" s="156"/>
      <c r="B122" s="201">
        <v>7000</v>
      </c>
      <c r="C122" s="169">
        <v>127</v>
      </c>
      <c r="O122" s="198"/>
    </row>
    <row r="123" spans="1:15" x14ac:dyDescent="0.2">
      <c r="A123" s="156"/>
      <c r="B123" s="201">
        <v>6000</v>
      </c>
      <c r="C123" s="169">
        <v>110</v>
      </c>
      <c r="O123" s="198"/>
    </row>
    <row r="124" spans="1:15" x14ac:dyDescent="0.2">
      <c r="A124" s="156"/>
      <c r="B124" s="201">
        <v>5000</v>
      </c>
      <c r="C124" s="169">
        <v>92</v>
      </c>
      <c r="O124" s="198"/>
    </row>
    <row r="125" spans="1:15" x14ac:dyDescent="0.2">
      <c r="A125" s="156"/>
      <c r="B125" s="201">
        <v>4500</v>
      </c>
      <c r="C125" s="169">
        <v>84</v>
      </c>
      <c r="O125" s="198"/>
    </row>
    <row r="126" spans="1:15" x14ac:dyDescent="0.2">
      <c r="A126" s="156"/>
      <c r="B126" s="201">
        <v>4000</v>
      </c>
      <c r="C126" s="169">
        <v>75</v>
      </c>
      <c r="O126" s="198"/>
    </row>
    <row r="127" spans="1:15" x14ac:dyDescent="0.2">
      <c r="A127" s="156"/>
      <c r="B127" s="201">
        <v>3500</v>
      </c>
      <c r="C127" s="169">
        <v>66</v>
      </c>
      <c r="O127" s="198"/>
    </row>
    <row r="128" spans="1:15" x14ac:dyDescent="0.2">
      <c r="A128" s="156"/>
      <c r="B128" s="201">
        <v>3000</v>
      </c>
      <c r="C128" s="169">
        <v>57</v>
      </c>
      <c r="O128" s="198"/>
    </row>
    <row r="129" spans="1:18" x14ac:dyDescent="0.2">
      <c r="A129" s="156"/>
      <c r="B129" s="201">
        <v>2500</v>
      </c>
      <c r="C129" s="169">
        <v>49</v>
      </c>
      <c r="O129" s="198"/>
    </row>
    <row r="130" spans="1:18" x14ac:dyDescent="0.2">
      <c r="A130" s="156"/>
      <c r="B130" s="201">
        <v>2000</v>
      </c>
      <c r="C130" s="169">
        <v>40</v>
      </c>
      <c r="O130" s="198"/>
    </row>
    <row r="131" spans="1:18" x14ac:dyDescent="0.2">
      <c r="A131" s="156"/>
      <c r="B131" s="201">
        <v>1500</v>
      </c>
      <c r="C131" s="169">
        <v>31</v>
      </c>
      <c r="O131" s="198"/>
    </row>
    <row r="132" spans="1:18" x14ac:dyDescent="0.2">
      <c r="A132" s="156"/>
      <c r="B132" s="201">
        <v>1000</v>
      </c>
      <c r="C132" s="169">
        <v>23</v>
      </c>
      <c r="O132" s="198"/>
    </row>
    <row r="133" spans="1:18" x14ac:dyDescent="0.2">
      <c r="A133" s="156"/>
      <c r="B133" s="202"/>
      <c r="O133" s="198"/>
    </row>
    <row r="134" spans="1:18" s="157" customFormat="1" ht="15.6" customHeight="1" x14ac:dyDescent="0.25">
      <c r="A134" s="158"/>
      <c r="B134" s="979" t="s">
        <v>2030</v>
      </c>
      <c r="C134" s="980"/>
      <c r="D134" s="980"/>
      <c r="E134" s="980"/>
      <c r="F134" s="980"/>
      <c r="G134" s="980"/>
      <c r="H134" s="980"/>
      <c r="I134" s="980"/>
      <c r="J134" s="980"/>
      <c r="M134" s="170">
        <f>+P10Q3</f>
        <v>3</v>
      </c>
      <c r="N134" s="159"/>
      <c r="O134" s="193">
        <f>INDEX(C136:M180,MATCH(P10Q2,B136:B180,-1),MATCH(P0Q2,C135:M135))</f>
        <v>109.88000000000001</v>
      </c>
      <c r="P134" s="157" t="s">
        <v>775</v>
      </c>
      <c r="Q134" s="194">
        <f>IF(ISERROR(O134),0,+O134*M134)</f>
        <v>329.64000000000004</v>
      </c>
      <c r="R134" s="194" t="s">
        <v>2031</v>
      </c>
    </row>
    <row r="135" spans="1:18" x14ac:dyDescent="0.2">
      <c r="A135" s="156"/>
      <c r="B135" s="226" t="s">
        <v>740</v>
      </c>
      <c r="C135" s="192">
        <v>50</v>
      </c>
      <c r="D135" s="192">
        <v>100</v>
      </c>
      <c r="E135" s="192">
        <v>150</v>
      </c>
      <c r="F135" s="192">
        <v>200</v>
      </c>
      <c r="G135" s="192">
        <v>250</v>
      </c>
      <c r="H135" s="192">
        <v>300</v>
      </c>
      <c r="I135" s="192">
        <v>400</v>
      </c>
      <c r="J135" s="192">
        <v>500</v>
      </c>
      <c r="K135" s="192">
        <v>600</v>
      </c>
      <c r="L135" s="192">
        <v>700</v>
      </c>
      <c r="M135" s="192">
        <v>800</v>
      </c>
      <c r="O135" s="198"/>
    </row>
    <row r="136" spans="1:18" x14ac:dyDescent="0.2">
      <c r="A136" s="156"/>
      <c r="B136" s="192">
        <v>2550</v>
      </c>
      <c r="C136" s="619">
        <v>146.93</v>
      </c>
      <c r="D136" s="619">
        <v>147.88</v>
      </c>
      <c r="E136" s="619">
        <v>148.82999999999998</v>
      </c>
      <c r="F136" s="619">
        <v>149.78</v>
      </c>
      <c r="G136" s="619">
        <v>150.72999999999999</v>
      </c>
      <c r="H136" s="619">
        <v>151.68</v>
      </c>
      <c r="I136" s="619">
        <v>153.57999999999998</v>
      </c>
      <c r="J136" s="619">
        <v>155.47999999999999</v>
      </c>
      <c r="K136" s="619">
        <v>157.38</v>
      </c>
      <c r="L136" s="619">
        <v>159.28</v>
      </c>
      <c r="M136" s="619">
        <v>161.18</v>
      </c>
      <c r="O136" s="198"/>
    </row>
    <row r="137" spans="1:18" x14ac:dyDescent="0.2">
      <c r="A137" s="156"/>
      <c r="B137" s="192">
        <v>2500</v>
      </c>
      <c r="C137" s="619">
        <v>145.03</v>
      </c>
      <c r="D137" s="619">
        <v>145.97999999999999</v>
      </c>
      <c r="E137" s="619">
        <v>146.93</v>
      </c>
      <c r="F137" s="619">
        <v>147.88</v>
      </c>
      <c r="G137" s="619">
        <v>148.82999999999998</v>
      </c>
      <c r="H137" s="619">
        <v>149.78</v>
      </c>
      <c r="I137" s="619">
        <v>151.68</v>
      </c>
      <c r="J137" s="619">
        <v>153.57999999999998</v>
      </c>
      <c r="K137" s="619">
        <v>155.47999999999999</v>
      </c>
      <c r="L137" s="619">
        <v>157.38</v>
      </c>
      <c r="M137" s="619">
        <v>159.28</v>
      </c>
      <c r="O137" s="198"/>
    </row>
    <row r="138" spans="1:18" x14ac:dyDescent="0.2">
      <c r="A138" s="156"/>
      <c r="B138" s="192">
        <v>2450</v>
      </c>
      <c r="C138" s="619">
        <v>143.13</v>
      </c>
      <c r="D138" s="619">
        <v>144.07999999999998</v>
      </c>
      <c r="E138" s="619">
        <v>145.03</v>
      </c>
      <c r="F138" s="619">
        <v>145.97999999999999</v>
      </c>
      <c r="G138" s="619">
        <v>146.93</v>
      </c>
      <c r="H138" s="619">
        <v>147.88</v>
      </c>
      <c r="I138" s="619">
        <v>149.78</v>
      </c>
      <c r="J138" s="619">
        <v>151.68</v>
      </c>
      <c r="K138" s="619">
        <v>153.57999999999998</v>
      </c>
      <c r="L138" s="619">
        <v>155.47999999999999</v>
      </c>
      <c r="M138" s="619">
        <v>157.38</v>
      </c>
      <c r="O138" s="198"/>
    </row>
    <row r="139" spans="1:18" x14ac:dyDescent="0.2">
      <c r="A139" s="156"/>
      <c r="B139" s="192">
        <v>2400</v>
      </c>
      <c r="C139" s="619">
        <v>141.22999999999999</v>
      </c>
      <c r="D139" s="619">
        <v>142.18</v>
      </c>
      <c r="E139" s="619">
        <v>143.13</v>
      </c>
      <c r="F139" s="619">
        <v>144.07999999999998</v>
      </c>
      <c r="G139" s="619">
        <v>145.03</v>
      </c>
      <c r="H139" s="619">
        <v>145.97999999999999</v>
      </c>
      <c r="I139" s="619">
        <v>147.88</v>
      </c>
      <c r="J139" s="619">
        <v>149.78</v>
      </c>
      <c r="K139" s="619">
        <v>151.68</v>
      </c>
      <c r="L139" s="619">
        <v>153.57999999999998</v>
      </c>
      <c r="M139" s="619">
        <v>155.47999999999999</v>
      </c>
      <c r="O139" s="198"/>
    </row>
    <row r="140" spans="1:18" x14ac:dyDescent="0.2">
      <c r="A140" s="156"/>
      <c r="B140" s="192">
        <v>2350</v>
      </c>
      <c r="C140" s="619">
        <v>139.32999999999998</v>
      </c>
      <c r="D140" s="619">
        <v>140.28</v>
      </c>
      <c r="E140" s="619">
        <v>141.22999999999999</v>
      </c>
      <c r="F140" s="619">
        <v>142.18</v>
      </c>
      <c r="G140" s="619">
        <v>143.13</v>
      </c>
      <c r="H140" s="619">
        <v>144.07999999999998</v>
      </c>
      <c r="I140" s="619">
        <v>145.97999999999999</v>
      </c>
      <c r="J140" s="619">
        <v>147.88</v>
      </c>
      <c r="K140" s="619">
        <v>149.78</v>
      </c>
      <c r="L140" s="619">
        <v>151.68</v>
      </c>
      <c r="M140" s="619">
        <v>153.57999999999998</v>
      </c>
      <c r="O140" s="198"/>
    </row>
    <row r="141" spans="1:18" x14ac:dyDescent="0.2">
      <c r="B141" s="192">
        <v>2300</v>
      </c>
      <c r="C141" s="619">
        <v>137.43</v>
      </c>
      <c r="D141" s="619">
        <v>138.38</v>
      </c>
      <c r="E141" s="619">
        <v>139.32999999999998</v>
      </c>
      <c r="F141" s="619">
        <v>140.28</v>
      </c>
      <c r="G141" s="619">
        <v>141.22999999999999</v>
      </c>
      <c r="H141" s="619">
        <v>142.18</v>
      </c>
      <c r="I141" s="619">
        <v>144.07999999999998</v>
      </c>
      <c r="J141" s="619">
        <v>145.97999999999999</v>
      </c>
      <c r="K141" s="619">
        <v>147.88</v>
      </c>
      <c r="L141" s="619">
        <v>149.78</v>
      </c>
      <c r="M141" s="619">
        <v>151.68</v>
      </c>
      <c r="O141" s="198"/>
    </row>
    <row r="142" spans="1:18" x14ac:dyDescent="0.2">
      <c r="B142" s="192">
        <v>2250</v>
      </c>
      <c r="C142" s="619">
        <v>135.53</v>
      </c>
      <c r="D142" s="619">
        <v>136.47999999999999</v>
      </c>
      <c r="E142" s="619">
        <v>137.43</v>
      </c>
      <c r="F142" s="619">
        <v>138.38</v>
      </c>
      <c r="G142" s="619">
        <v>139.32999999999998</v>
      </c>
      <c r="H142" s="619">
        <v>140.28</v>
      </c>
      <c r="I142" s="619">
        <v>142.18</v>
      </c>
      <c r="J142" s="619">
        <v>144.07999999999998</v>
      </c>
      <c r="K142" s="619">
        <v>145.97999999999999</v>
      </c>
      <c r="L142" s="619">
        <v>147.88</v>
      </c>
      <c r="M142" s="619">
        <v>149.78</v>
      </c>
      <c r="O142" s="198"/>
    </row>
    <row r="143" spans="1:18" x14ac:dyDescent="0.2">
      <c r="B143" s="192">
        <v>2200</v>
      </c>
      <c r="C143" s="619">
        <v>133.63</v>
      </c>
      <c r="D143" s="619">
        <v>134.57999999999998</v>
      </c>
      <c r="E143" s="619">
        <v>135.53</v>
      </c>
      <c r="F143" s="619">
        <v>136.47999999999999</v>
      </c>
      <c r="G143" s="619">
        <v>137.43</v>
      </c>
      <c r="H143" s="619">
        <v>138.38</v>
      </c>
      <c r="I143" s="619">
        <v>140.28</v>
      </c>
      <c r="J143" s="619">
        <v>142.18</v>
      </c>
      <c r="K143" s="619">
        <v>144.07999999999998</v>
      </c>
      <c r="L143" s="619">
        <v>145.97999999999999</v>
      </c>
      <c r="M143" s="619">
        <v>147.88</v>
      </c>
      <c r="O143" s="198"/>
    </row>
    <row r="144" spans="1:18" x14ac:dyDescent="0.2">
      <c r="B144" s="192">
        <v>2150</v>
      </c>
      <c r="C144" s="619">
        <v>131.72999999999999</v>
      </c>
      <c r="D144" s="619">
        <v>132.68</v>
      </c>
      <c r="E144" s="619">
        <v>133.63</v>
      </c>
      <c r="F144" s="619">
        <v>134.57999999999998</v>
      </c>
      <c r="G144" s="619">
        <v>135.53</v>
      </c>
      <c r="H144" s="619">
        <v>136.47999999999999</v>
      </c>
      <c r="I144" s="619">
        <v>138.38</v>
      </c>
      <c r="J144" s="619">
        <v>140.28</v>
      </c>
      <c r="K144" s="619">
        <v>142.18</v>
      </c>
      <c r="L144" s="619">
        <v>144.07999999999998</v>
      </c>
      <c r="M144" s="619">
        <v>145.97999999999999</v>
      </c>
      <c r="O144" s="198"/>
    </row>
    <row r="145" spans="2:15" x14ac:dyDescent="0.2">
      <c r="B145" s="192">
        <v>2100</v>
      </c>
      <c r="C145" s="619">
        <v>129.82999999999998</v>
      </c>
      <c r="D145" s="619">
        <v>130.78</v>
      </c>
      <c r="E145" s="619">
        <v>131.72999999999999</v>
      </c>
      <c r="F145" s="619">
        <v>132.68</v>
      </c>
      <c r="G145" s="619">
        <v>133.63</v>
      </c>
      <c r="H145" s="619">
        <v>134.57999999999998</v>
      </c>
      <c r="I145" s="619">
        <v>136.47999999999999</v>
      </c>
      <c r="J145" s="619">
        <v>138.38</v>
      </c>
      <c r="K145" s="619">
        <v>140.28</v>
      </c>
      <c r="L145" s="619">
        <v>142.18</v>
      </c>
      <c r="M145" s="619">
        <v>144.07999999999998</v>
      </c>
      <c r="O145" s="198"/>
    </row>
    <row r="146" spans="2:15" x14ac:dyDescent="0.2">
      <c r="B146" s="192">
        <v>2050</v>
      </c>
      <c r="C146" s="619">
        <v>127.93</v>
      </c>
      <c r="D146" s="619">
        <v>128.88</v>
      </c>
      <c r="E146" s="619">
        <v>129.82999999999998</v>
      </c>
      <c r="F146" s="619">
        <v>130.78</v>
      </c>
      <c r="G146" s="619">
        <v>131.72999999999999</v>
      </c>
      <c r="H146" s="619">
        <v>132.68</v>
      </c>
      <c r="I146" s="619">
        <v>134.57999999999998</v>
      </c>
      <c r="J146" s="619">
        <v>136.47999999999999</v>
      </c>
      <c r="K146" s="619">
        <v>138.38</v>
      </c>
      <c r="L146" s="619">
        <v>140.28</v>
      </c>
      <c r="M146" s="619">
        <v>142.18</v>
      </c>
      <c r="O146" s="198"/>
    </row>
    <row r="147" spans="2:15" x14ac:dyDescent="0.2">
      <c r="B147" s="192">
        <v>2000</v>
      </c>
      <c r="C147" s="619">
        <v>126.03</v>
      </c>
      <c r="D147" s="619">
        <v>126.97999999999999</v>
      </c>
      <c r="E147" s="619">
        <v>127.93</v>
      </c>
      <c r="F147" s="619">
        <v>128.88</v>
      </c>
      <c r="G147" s="619">
        <v>129.82999999999998</v>
      </c>
      <c r="H147" s="619">
        <v>130.78</v>
      </c>
      <c r="I147" s="619">
        <v>132.68</v>
      </c>
      <c r="J147" s="619">
        <v>134.57999999999998</v>
      </c>
      <c r="K147" s="619">
        <v>136.47999999999999</v>
      </c>
      <c r="L147" s="619">
        <v>138.38</v>
      </c>
      <c r="M147" s="619">
        <v>140.28</v>
      </c>
      <c r="O147" s="198"/>
    </row>
    <row r="148" spans="2:15" x14ac:dyDescent="0.2">
      <c r="B148" s="192">
        <v>1950</v>
      </c>
      <c r="C148" s="619">
        <v>124.13</v>
      </c>
      <c r="D148" s="619">
        <v>125.08</v>
      </c>
      <c r="E148" s="619">
        <v>126.03</v>
      </c>
      <c r="F148" s="619">
        <v>126.97999999999999</v>
      </c>
      <c r="G148" s="619">
        <v>127.93</v>
      </c>
      <c r="H148" s="619">
        <v>128.88</v>
      </c>
      <c r="I148" s="619">
        <v>130.78</v>
      </c>
      <c r="J148" s="619">
        <v>132.68</v>
      </c>
      <c r="K148" s="619">
        <v>134.57999999999998</v>
      </c>
      <c r="L148" s="619">
        <v>136.47999999999999</v>
      </c>
      <c r="M148" s="619">
        <v>138.38</v>
      </c>
      <c r="O148" s="198"/>
    </row>
    <row r="149" spans="2:15" x14ac:dyDescent="0.2">
      <c r="B149" s="192">
        <v>1900</v>
      </c>
      <c r="C149" s="619">
        <v>122.23</v>
      </c>
      <c r="D149" s="619">
        <v>123.17999999999999</v>
      </c>
      <c r="E149" s="619">
        <v>124.13</v>
      </c>
      <c r="F149" s="619">
        <v>125.08</v>
      </c>
      <c r="G149" s="619">
        <v>126.03</v>
      </c>
      <c r="H149" s="619">
        <v>126.97999999999999</v>
      </c>
      <c r="I149" s="619">
        <v>128.88</v>
      </c>
      <c r="J149" s="619">
        <v>130.78</v>
      </c>
      <c r="K149" s="619">
        <v>132.68</v>
      </c>
      <c r="L149" s="619">
        <v>134.57999999999998</v>
      </c>
      <c r="M149" s="619">
        <v>136.47999999999999</v>
      </c>
      <c r="O149" s="198"/>
    </row>
    <row r="150" spans="2:15" x14ac:dyDescent="0.2">
      <c r="B150" s="192">
        <v>1850</v>
      </c>
      <c r="C150" s="619">
        <v>120.33</v>
      </c>
      <c r="D150" s="619">
        <v>121.28</v>
      </c>
      <c r="E150" s="619">
        <v>122.23</v>
      </c>
      <c r="F150" s="619">
        <v>123.17999999999999</v>
      </c>
      <c r="G150" s="619">
        <v>124.13</v>
      </c>
      <c r="H150" s="619">
        <v>125.08</v>
      </c>
      <c r="I150" s="619">
        <v>126.97999999999999</v>
      </c>
      <c r="J150" s="619">
        <v>128.88</v>
      </c>
      <c r="K150" s="619">
        <v>130.78</v>
      </c>
      <c r="L150" s="619">
        <v>132.68</v>
      </c>
      <c r="M150" s="619">
        <v>134.57999999999998</v>
      </c>
      <c r="O150" s="198"/>
    </row>
    <row r="151" spans="2:15" x14ac:dyDescent="0.2">
      <c r="B151" s="192">
        <v>1800</v>
      </c>
      <c r="C151" s="619">
        <v>118.42999999999999</v>
      </c>
      <c r="D151" s="619">
        <v>119.38</v>
      </c>
      <c r="E151" s="619">
        <v>120.33</v>
      </c>
      <c r="F151" s="619">
        <v>121.28</v>
      </c>
      <c r="G151" s="619">
        <v>122.23</v>
      </c>
      <c r="H151" s="619">
        <v>123.17999999999999</v>
      </c>
      <c r="I151" s="619">
        <v>125.08</v>
      </c>
      <c r="J151" s="619">
        <v>126.97999999999999</v>
      </c>
      <c r="K151" s="619">
        <v>128.88</v>
      </c>
      <c r="L151" s="619">
        <v>130.78</v>
      </c>
      <c r="M151" s="619">
        <v>132.68</v>
      </c>
      <c r="O151" s="198"/>
    </row>
    <row r="152" spans="2:15" x14ac:dyDescent="0.2">
      <c r="B152" s="192">
        <v>1750</v>
      </c>
      <c r="C152" s="619">
        <v>116.53</v>
      </c>
      <c r="D152" s="619">
        <v>117.48</v>
      </c>
      <c r="E152" s="619">
        <v>118.42999999999999</v>
      </c>
      <c r="F152" s="619">
        <v>119.38</v>
      </c>
      <c r="G152" s="619">
        <v>120.33</v>
      </c>
      <c r="H152" s="619">
        <v>121.28</v>
      </c>
      <c r="I152" s="619">
        <v>123.17999999999999</v>
      </c>
      <c r="J152" s="619">
        <v>125.08</v>
      </c>
      <c r="K152" s="619">
        <v>126.97999999999999</v>
      </c>
      <c r="L152" s="619">
        <v>128.88</v>
      </c>
      <c r="M152" s="619">
        <v>130.78</v>
      </c>
      <c r="O152" s="198"/>
    </row>
    <row r="153" spans="2:15" x14ac:dyDescent="0.2">
      <c r="B153" s="192">
        <v>1700</v>
      </c>
      <c r="C153" s="619">
        <v>114.63</v>
      </c>
      <c r="D153" s="619">
        <v>115.58</v>
      </c>
      <c r="E153" s="619">
        <v>116.53</v>
      </c>
      <c r="F153" s="619">
        <v>117.48</v>
      </c>
      <c r="G153" s="619">
        <v>118.42999999999999</v>
      </c>
      <c r="H153" s="619">
        <v>119.38</v>
      </c>
      <c r="I153" s="619">
        <v>121.28</v>
      </c>
      <c r="J153" s="619">
        <v>123.17999999999999</v>
      </c>
      <c r="K153" s="619">
        <v>125.08</v>
      </c>
      <c r="L153" s="619">
        <v>126.97999999999999</v>
      </c>
      <c r="M153" s="619">
        <v>128.88</v>
      </c>
      <c r="O153" s="198"/>
    </row>
    <row r="154" spans="2:15" x14ac:dyDescent="0.2">
      <c r="B154" s="192">
        <v>1650</v>
      </c>
      <c r="C154" s="619">
        <v>112.73</v>
      </c>
      <c r="D154" s="619">
        <v>113.67999999999999</v>
      </c>
      <c r="E154" s="619">
        <v>114.63</v>
      </c>
      <c r="F154" s="619">
        <v>115.58</v>
      </c>
      <c r="G154" s="619">
        <v>116.53</v>
      </c>
      <c r="H154" s="619">
        <v>117.48</v>
      </c>
      <c r="I154" s="619">
        <v>119.38</v>
      </c>
      <c r="J154" s="619">
        <v>121.28</v>
      </c>
      <c r="K154" s="619">
        <v>123.17999999999999</v>
      </c>
      <c r="L154" s="619">
        <v>125.08</v>
      </c>
      <c r="M154" s="619">
        <v>126.97999999999999</v>
      </c>
      <c r="O154" s="198"/>
    </row>
    <row r="155" spans="2:15" x14ac:dyDescent="0.2">
      <c r="B155" s="192">
        <v>1600</v>
      </c>
      <c r="C155" s="619">
        <v>110.83</v>
      </c>
      <c r="D155" s="619">
        <v>111.77999999999999</v>
      </c>
      <c r="E155" s="619">
        <v>112.73</v>
      </c>
      <c r="F155" s="619">
        <v>113.67999999999999</v>
      </c>
      <c r="G155" s="619">
        <v>114.63</v>
      </c>
      <c r="H155" s="619">
        <v>115.58</v>
      </c>
      <c r="I155" s="619">
        <v>117.48</v>
      </c>
      <c r="J155" s="619">
        <v>119.38</v>
      </c>
      <c r="K155" s="619">
        <v>121.28</v>
      </c>
      <c r="L155" s="619">
        <v>123.17999999999999</v>
      </c>
      <c r="M155" s="619">
        <v>125.08</v>
      </c>
      <c r="O155" s="198"/>
    </row>
    <row r="156" spans="2:15" x14ac:dyDescent="0.2">
      <c r="B156" s="192">
        <v>1550</v>
      </c>
      <c r="C156" s="619">
        <v>108.92999999999999</v>
      </c>
      <c r="D156" s="619">
        <v>109.88000000000001</v>
      </c>
      <c r="E156" s="619">
        <v>110.83</v>
      </c>
      <c r="F156" s="619">
        <v>111.77999999999999</v>
      </c>
      <c r="G156" s="619">
        <v>112.73</v>
      </c>
      <c r="H156" s="619">
        <v>113.67999999999999</v>
      </c>
      <c r="I156" s="619">
        <v>115.58</v>
      </c>
      <c r="J156" s="619">
        <v>117.48</v>
      </c>
      <c r="K156" s="619">
        <v>119.38</v>
      </c>
      <c r="L156" s="619">
        <v>121.28</v>
      </c>
      <c r="M156" s="619">
        <v>123.17999999999999</v>
      </c>
      <c r="O156" s="198"/>
    </row>
    <row r="157" spans="2:15" x14ac:dyDescent="0.2">
      <c r="B157" s="192">
        <v>1500</v>
      </c>
      <c r="C157" s="619">
        <v>107.03</v>
      </c>
      <c r="D157" s="619">
        <v>107.98</v>
      </c>
      <c r="E157" s="619">
        <v>108.92999999999999</v>
      </c>
      <c r="F157" s="619">
        <v>109.88000000000001</v>
      </c>
      <c r="G157" s="619">
        <v>110.83</v>
      </c>
      <c r="H157" s="619">
        <v>111.77999999999999</v>
      </c>
      <c r="I157" s="619">
        <v>113.67999999999999</v>
      </c>
      <c r="J157" s="619">
        <v>115.58</v>
      </c>
      <c r="K157" s="619">
        <v>117.48</v>
      </c>
      <c r="L157" s="619">
        <v>119.38</v>
      </c>
      <c r="M157" s="619">
        <v>121.28</v>
      </c>
      <c r="O157" s="198"/>
    </row>
    <row r="158" spans="2:15" x14ac:dyDescent="0.2">
      <c r="B158" s="192">
        <v>1450</v>
      </c>
      <c r="C158" s="619">
        <v>105.13</v>
      </c>
      <c r="D158" s="619">
        <v>106.08</v>
      </c>
      <c r="E158" s="619">
        <v>107.03</v>
      </c>
      <c r="F158" s="619">
        <v>107.98</v>
      </c>
      <c r="G158" s="619">
        <v>108.92999999999999</v>
      </c>
      <c r="H158" s="619">
        <v>109.88000000000001</v>
      </c>
      <c r="I158" s="619">
        <v>111.77999999999999</v>
      </c>
      <c r="J158" s="619">
        <v>113.67999999999999</v>
      </c>
      <c r="K158" s="619">
        <v>115.58</v>
      </c>
      <c r="L158" s="619">
        <v>117.48</v>
      </c>
      <c r="M158" s="619">
        <v>119.38</v>
      </c>
      <c r="O158" s="198"/>
    </row>
    <row r="159" spans="2:15" x14ac:dyDescent="0.2">
      <c r="B159" s="192">
        <v>1400</v>
      </c>
      <c r="C159" s="619">
        <v>103.22999999999999</v>
      </c>
      <c r="D159" s="619">
        <v>104.18</v>
      </c>
      <c r="E159" s="619">
        <v>105.13</v>
      </c>
      <c r="F159" s="619">
        <v>106.08</v>
      </c>
      <c r="G159" s="619">
        <v>107.03</v>
      </c>
      <c r="H159" s="619">
        <v>107.98</v>
      </c>
      <c r="I159" s="619">
        <v>109.88000000000001</v>
      </c>
      <c r="J159" s="619">
        <v>111.77999999999999</v>
      </c>
      <c r="K159" s="619">
        <v>113.67999999999999</v>
      </c>
      <c r="L159" s="619">
        <v>115.58</v>
      </c>
      <c r="M159" s="619">
        <v>117.48</v>
      </c>
      <c r="O159" s="198"/>
    </row>
    <row r="160" spans="2:15" x14ac:dyDescent="0.2">
      <c r="B160" s="192">
        <v>1350</v>
      </c>
      <c r="C160" s="619">
        <v>101.33</v>
      </c>
      <c r="D160" s="619">
        <v>102.28</v>
      </c>
      <c r="E160" s="619">
        <v>103.22999999999999</v>
      </c>
      <c r="F160" s="619">
        <v>104.18</v>
      </c>
      <c r="G160" s="619">
        <v>105.13</v>
      </c>
      <c r="H160" s="619">
        <v>106.08</v>
      </c>
      <c r="I160" s="619">
        <v>107.98</v>
      </c>
      <c r="J160" s="619">
        <v>109.88000000000001</v>
      </c>
      <c r="K160" s="619">
        <v>111.77999999999999</v>
      </c>
      <c r="L160" s="619">
        <v>113.67999999999999</v>
      </c>
      <c r="M160" s="619">
        <v>115.58</v>
      </c>
      <c r="O160" s="198"/>
    </row>
    <row r="161" spans="2:15" x14ac:dyDescent="0.2">
      <c r="B161" s="192">
        <v>1300</v>
      </c>
      <c r="C161" s="619">
        <v>99.43</v>
      </c>
      <c r="D161" s="619">
        <v>100.38</v>
      </c>
      <c r="E161" s="619">
        <v>101.33</v>
      </c>
      <c r="F161" s="619">
        <v>102.28</v>
      </c>
      <c r="G161" s="619">
        <v>103.22999999999999</v>
      </c>
      <c r="H161" s="619">
        <v>104.18</v>
      </c>
      <c r="I161" s="619">
        <v>106.08</v>
      </c>
      <c r="J161" s="619">
        <v>107.98</v>
      </c>
      <c r="K161" s="619">
        <v>109.88000000000001</v>
      </c>
      <c r="L161" s="619">
        <v>111.77999999999999</v>
      </c>
      <c r="M161" s="619">
        <v>113.67999999999999</v>
      </c>
      <c r="O161" s="198"/>
    </row>
    <row r="162" spans="2:15" x14ac:dyDescent="0.2">
      <c r="B162" s="192">
        <v>1250</v>
      </c>
      <c r="C162" s="619">
        <v>97.53</v>
      </c>
      <c r="D162" s="619">
        <v>98.47999999999999</v>
      </c>
      <c r="E162" s="619">
        <v>99.43</v>
      </c>
      <c r="F162" s="619">
        <v>100.38</v>
      </c>
      <c r="G162" s="619">
        <v>101.33</v>
      </c>
      <c r="H162" s="619">
        <v>102.28</v>
      </c>
      <c r="I162" s="619">
        <v>104.18</v>
      </c>
      <c r="J162" s="619">
        <v>106.08</v>
      </c>
      <c r="K162" s="619">
        <v>107.98</v>
      </c>
      <c r="L162" s="619">
        <v>109.88000000000001</v>
      </c>
      <c r="M162" s="619">
        <v>111.77999999999999</v>
      </c>
      <c r="O162" s="198"/>
    </row>
    <row r="163" spans="2:15" x14ac:dyDescent="0.2">
      <c r="B163" s="192">
        <v>1200</v>
      </c>
      <c r="C163" s="619">
        <v>95.63</v>
      </c>
      <c r="D163" s="619">
        <v>96.58</v>
      </c>
      <c r="E163" s="619">
        <v>97.53</v>
      </c>
      <c r="F163" s="619">
        <v>98.47999999999999</v>
      </c>
      <c r="G163" s="619">
        <v>99.43</v>
      </c>
      <c r="H163" s="619">
        <v>100.38</v>
      </c>
      <c r="I163" s="619">
        <v>102.28</v>
      </c>
      <c r="J163" s="619">
        <v>104.18</v>
      </c>
      <c r="K163" s="619">
        <v>106.08</v>
      </c>
      <c r="L163" s="619">
        <v>107.98</v>
      </c>
      <c r="M163" s="619">
        <v>109.88000000000001</v>
      </c>
      <c r="O163" s="198"/>
    </row>
    <row r="164" spans="2:15" x14ac:dyDescent="0.2">
      <c r="B164" s="192">
        <v>1150</v>
      </c>
      <c r="C164" s="619">
        <v>93.72999999999999</v>
      </c>
      <c r="D164" s="619">
        <v>94.68</v>
      </c>
      <c r="E164" s="619">
        <v>95.63</v>
      </c>
      <c r="F164" s="619">
        <v>96.58</v>
      </c>
      <c r="G164" s="619">
        <v>97.53</v>
      </c>
      <c r="H164" s="619">
        <v>98.47999999999999</v>
      </c>
      <c r="I164" s="619">
        <v>100.38</v>
      </c>
      <c r="J164" s="619">
        <v>102.28</v>
      </c>
      <c r="K164" s="619">
        <v>104.18</v>
      </c>
      <c r="L164" s="619">
        <v>106.08</v>
      </c>
      <c r="M164" s="619">
        <v>107.98</v>
      </c>
      <c r="O164" s="198"/>
    </row>
    <row r="165" spans="2:15" x14ac:dyDescent="0.2">
      <c r="B165" s="192">
        <v>1100</v>
      </c>
      <c r="C165" s="619">
        <v>91.83</v>
      </c>
      <c r="D165" s="619">
        <v>92.78</v>
      </c>
      <c r="E165" s="619">
        <v>93.72999999999999</v>
      </c>
      <c r="F165" s="619">
        <v>94.68</v>
      </c>
      <c r="G165" s="619">
        <v>95.63</v>
      </c>
      <c r="H165" s="619">
        <v>96.58</v>
      </c>
      <c r="I165" s="619">
        <v>98.47999999999999</v>
      </c>
      <c r="J165" s="619">
        <v>100.38</v>
      </c>
      <c r="K165" s="619">
        <v>102.28</v>
      </c>
      <c r="L165" s="619">
        <v>104.18</v>
      </c>
      <c r="M165" s="619">
        <v>106.08</v>
      </c>
      <c r="O165" s="198"/>
    </row>
    <row r="166" spans="2:15" x14ac:dyDescent="0.2">
      <c r="B166" s="192">
        <v>1050</v>
      </c>
      <c r="C166" s="619">
        <v>89.93</v>
      </c>
      <c r="D166" s="619">
        <v>90.88</v>
      </c>
      <c r="E166" s="619">
        <v>91.83</v>
      </c>
      <c r="F166" s="619">
        <v>92.78</v>
      </c>
      <c r="G166" s="619">
        <v>93.72999999999999</v>
      </c>
      <c r="H166" s="619">
        <v>94.68</v>
      </c>
      <c r="I166" s="619">
        <v>96.58</v>
      </c>
      <c r="J166" s="619">
        <v>98.47999999999999</v>
      </c>
      <c r="K166" s="619">
        <v>100.38</v>
      </c>
      <c r="L166" s="619">
        <v>102.28</v>
      </c>
      <c r="M166" s="619">
        <v>104.18</v>
      </c>
      <c r="O166" s="198"/>
    </row>
    <row r="167" spans="2:15" x14ac:dyDescent="0.2">
      <c r="B167" s="192">
        <v>1000</v>
      </c>
      <c r="C167" s="619">
        <v>88.03</v>
      </c>
      <c r="D167" s="619">
        <v>88.97999999999999</v>
      </c>
      <c r="E167" s="619">
        <v>89.93</v>
      </c>
      <c r="F167" s="619">
        <v>90.88</v>
      </c>
      <c r="G167" s="619">
        <v>91.83</v>
      </c>
      <c r="H167" s="619">
        <v>92.78</v>
      </c>
      <c r="I167" s="619">
        <v>94.68</v>
      </c>
      <c r="J167" s="619">
        <v>96.58</v>
      </c>
      <c r="K167" s="619">
        <v>98.47999999999999</v>
      </c>
      <c r="L167" s="619">
        <v>100.38</v>
      </c>
      <c r="M167" s="619">
        <v>102.28</v>
      </c>
      <c r="O167" s="198"/>
    </row>
    <row r="168" spans="2:15" x14ac:dyDescent="0.2">
      <c r="B168" s="192">
        <v>950</v>
      </c>
      <c r="C168" s="619">
        <v>86.13</v>
      </c>
      <c r="D168" s="619">
        <v>87.08</v>
      </c>
      <c r="E168" s="619">
        <v>88.03</v>
      </c>
      <c r="F168" s="619">
        <v>88.97999999999999</v>
      </c>
      <c r="G168" s="619">
        <v>89.93</v>
      </c>
      <c r="H168" s="619">
        <v>90.88</v>
      </c>
      <c r="I168" s="619">
        <v>92.78</v>
      </c>
      <c r="J168" s="619">
        <v>94.68</v>
      </c>
      <c r="K168" s="619">
        <v>96.58</v>
      </c>
      <c r="L168" s="619">
        <v>98.47999999999999</v>
      </c>
      <c r="M168" s="619">
        <v>100.38</v>
      </c>
      <c r="O168" s="198"/>
    </row>
    <row r="169" spans="2:15" x14ac:dyDescent="0.2">
      <c r="B169" s="192">
        <v>900</v>
      </c>
      <c r="C169" s="619">
        <v>84.22999999999999</v>
      </c>
      <c r="D169" s="619">
        <v>85.18</v>
      </c>
      <c r="E169" s="619">
        <v>86.13</v>
      </c>
      <c r="F169" s="619">
        <v>87.08</v>
      </c>
      <c r="G169" s="619">
        <v>88.03</v>
      </c>
      <c r="H169" s="619">
        <v>88.97999999999999</v>
      </c>
      <c r="I169" s="619">
        <v>90.88</v>
      </c>
      <c r="J169" s="619">
        <v>92.78</v>
      </c>
      <c r="K169" s="619">
        <v>94.68</v>
      </c>
      <c r="L169" s="619">
        <v>96.58</v>
      </c>
      <c r="M169" s="619">
        <v>98.47999999999999</v>
      </c>
      <c r="O169" s="198"/>
    </row>
    <row r="170" spans="2:15" x14ac:dyDescent="0.2">
      <c r="B170" s="192">
        <v>850</v>
      </c>
      <c r="C170" s="619">
        <v>82.33</v>
      </c>
      <c r="D170" s="619">
        <v>83.28</v>
      </c>
      <c r="E170" s="619">
        <v>84.22999999999999</v>
      </c>
      <c r="F170" s="619">
        <v>85.18</v>
      </c>
      <c r="G170" s="619">
        <v>86.13</v>
      </c>
      <c r="H170" s="619">
        <v>87.08</v>
      </c>
      <c r="I170" s="619">
        <v>88.97999999999999</v>
      </c>
      <c r="J170" s="619">
        <v>90.88</v>
      </c>
      <c r="K170" s="619">
        <v>92.78</v>
      </c>
      <c r="L170" s="619">
        <v>94.68</v>
      </c>
      <c r="M170" s="619">
        <v>96.58</v>
      </c>
      <c r="O170" s="198"/>
    </row>
    <row r="171" spans="2:15" x14ac:dyDescent="0.2">
      <c r="B171" s="192">
        <v>800</v>
      </c>
      <c r="C171" s="619">
        <v>80.429999999999993</v>
      </c>
      <c r="D171" s="619">
        <v>81.38</v>
      </c>
      <c r="E171" s="619">
        <v>82.33</v>
      </c>
      <c r="F171" s="619">
        <v>83.28</v>
      </c>
      <c r="G171" s="619">
        <v>84.22999999999999</v>
      </c>
      <c r="H171" s="619">
        <v>85.18</v>
      </c>
      <c r="I171" s="619">
        <v>87.08</v>
      </c>
      <c r="J171" s="619">
        <v>88.97999999999999</v>
      </c>
      <c r="K171" s="619">
        <v>90.88</v>
      </c>
      <c r="L171" s="619">
        <v>92.78</v>
      </c>
      <c r="M171" s="619">
        <v>94.68</v>
      </c>
      <c r="O171" s="198"/>
    </row>
    <row r="172" spans="2:15" x14ac:dyDescent="0.2">
      <c r="B172" s="192">
        <v>750</v>
      </c>
      <c r="C172" s="619">
        <v>78.53</v>
      </c>
      <c r="D172" s="619">
        <v>79.48</v>
      </c>
      <c r="E172" s="619">
        <v>80.429999999999993</v>
      </c>
      <c r="F172" s="619">
        <v>81.38</v>
      </c>
      <c r="G172" s="619">
        <v>82.33</v>
      </c>
      <c r="H172" s="619">
        <v>83.28</v>
      </c>
      <c r="I172" s="619">
        <v>85.18</v>
      </c>
      <c r="J172" s="619">
        <v>87.08</v>
      </c>
      <c r="K172" s="619">
        <v>88.97999999999999</v>
      </c>
      <c r="L172" s="619">
        <v>90.88</v>
      </c>
      <c r="M172" s="619">
        <v>92.78</v>
      </c>
      <c r="O172" s="198"/>
    </row>
    <row r="173" spans="2:15" x14ac:dyDescent="0.2">
      <c r="B173" s="192">
        <v>700</v>
      </c>
      <c r="C173" s="619">
        <v>76.63</v>
      </c>
      <c r="D173" s="619">
        <v>77.58</v>
      </c>
      <c r="E173" s="619">
        <v>78.53</v>
      </c>
      <c r="F173" s="619">
        <v>79.48</v>
      </c>
      <c r="G173" s="619">
        <v>80.429999999999993</v>
      </c>
      <c r="H173" s="619">
        <v>81.38</v>
      </c>
      <c r="I173" s="619">
        <v>83.28</v>
      </c>
      <c r="J173" s="619">
        <v>85.18</v>
      </c>
      <c r="K173" s="619">
        <v>87.08</v>
      </c>
      <c r="L173" s="619">
        <v>88.97999999999999</v>
      </c>
      <c r="M173" s="619">
        <v>90.88</v>
      </c>
      <c r="O173" s="198"/>
    </row>
    <row r="174" spans="2:15" x14ac:dyDescent="0.2">
      <c r="B174" s="192">
        <v>650</v>
      </c>
      <c r="C174" s="619">
        <v>74.73</v>
      </c>
      <c r="D174" s="619">
        <v>75.679999999999993</v>
      </c>
      <c r="E174" s="619">
        <v>76.63</v>
      </c>
      <c r="F174" s="619">
        <v>77.58</v>
      </c>
      <c r="G174" s="619">
        <v>78.53</v>
      </c>
      <c r="H174" s="619">
        <v>79.48</v>
      </c>
      <c r="I174" s="619">
        <v>81.38</v>
      </c>
      <c r="J174" s="619">
        <v>83.28</v>
      </c>
      <c r="K174" s="619">
        <v>85.18</v>
      </c>
      <c r="L174" s="619">
        <v>87.08</v>
      </c>
      <c r="M174" s="619">
        <v>88.97999999999999</v>
      </c>
      <c r="O174" s="198"/>
    </row>
    <row r="175" spans="2:15" x14ac:dyDescent="0.2">
      <c r="B175" s="192">
        <v>600</v>
      </c>
      <c r="C175" s="619">
        <v>72.83</v>
      </c>
      <c r="D175" s="619">
        <v>73.78</v>
      </c>
      <c r="E175" s="619">
        <v>74.73</v>
      </c>
      <c r="F175" s="619">
        <v>75.679999999999993</v>
      </c>
      <c r="G175" s="619">
        <v>76.63</v>
      </c>
      <c r="H175" s="619">
        <v>77.58</v>
      </c>
      <c r="I175" s="619">
        <v>79.48</v>
      </c>
      <c r="J175" s="619">
        <v>81.38</v>
      </c>
      <c r="K175" s="619">
        <v>83.28</v>
      </c>
      <c r="L175" s="619">
        <v>85.18</v>
      </c>
      <c r="M175" s="619">
        <v>87.08</v>
      </c>
      <c r="O175" s="198"/>
    </row>
    <row r="176" spans="2:15" x14ac:dyDescent="0.2">
      <c r="B176" s="192">
        <v>550</v>
      </c>
      <c r="C176" s="619">
        <v>70.929999999999993</v>
      </c>
      <c r="D176" s="619">
        <v>71.88</v>
      </c>
      <c r="E176" s="619">
        <v>72.83</v>
      </c>
      <c r="F176" s="619">
        <v>73.78</v>
      </c>
      <c r="G176" s="619">
        <v>74.73</v>
      </c>
      <c r="H176" s="619">
        <v>75.679999999999993</v>
      </c>
      <c r="I176" s="619">
        <v>77.58</v>
      </c>
      <c r="J176" s="619">
        <v>79.48</v>
      </c>
      <c r="K176" s="619">
        <v>81.38</v>
      </c>
      <c r="L176" s="619">
        <v>83.28</v>
      </c>
      <c r="M176" s="619">
        <v>85.18</v>
      </c>
      <c r="O176" s="198"/>
    </row>
    <row r="177" spans="1:18" x14ac:dyDescent="0.2">
      <c r="B177" s="192">
        <v>500</v>
      </c>
      <c r="C177" s="619">
        <v>69.03</v>
      </c>
      <c r="D177" s="619">
        <v>69.98</v>
      </c>
      <c r="E177" s="619">
        <v>70.929999999999993</v>
      </c>
      <c r="F177" s="619">
        <v>71.88</v>
      </c>
      <c r="G177" s="619">
        <v>72.83</v>
      </c>
      <c r="H177" s="619">
        <v>73.78</v>
      </c>
      <c r="I177" s="619">
        <v>75.679999999999993</v>
      </c>
      <c r="J177" s="619">
        <v>77.58</v>
      </c>
      <c r="K177" s="619">
        <v>79.48</v>
      </c>
      <c r="L177" s="619">
        <v>81.38</v>
      </c>
      <c r="M177" s="619">
        <v>83.28</v>
      </c>
      <c r="O177" s="198"/>
    </row>
    <row r="178" spans="1:18" x14ac:dyDescent="0.2">
      <c r="B178" s="192">
        <v>450</v>
      </c>
      <c r="C178" s="619">
        <v>67.13</v>
      </c>
      <c r="D178" s="619">
        <v>68.08</v>
      </c>
      <c r="E178" s="619">
        <v>69.03</v>
      </c>
      <c r="F178" s="619">
        <v>69.98</v>
      </c>
      <c r="G178" s="619">
        <v>70.929999999999993</v>
      </c>
      <c r="H178" s="619">
        <v>71.88</v>
      </c>
      <c r="I178" s="619">
        <v>73.78</v>
      </c>
      <c r="J178" s="619">
        <v>75.679999999999993</v>
      </c>
      <c r="K178" s="619">
        <v>77.58</v>
      </c>
      <c r="L178" s="619">
        <v>79.48</v>
      </c>
      <c r="M178" s="619">
        <v>81.38</v>
      </c>
      <c r="O178" s="198"/>
    </row>
    <row r="179" spans="1:18" x14ac:dyDescent="0.2">
      <c r="B179" s="192">
        <v>400</v>
      </c>
      <c r="C179" s="619">
        <v>65.22999999999999</v>
      </c>
      <c r="D179" s="619">
        <v>66.180000000000007</v>
      </c>
      <c r="E179" s="619">
        <v>67.13</v>
      </c>
      <c r="F179" s="619">
        <v>68.08</v>
      </c>
      <c r="G179" s="619">
        <v>69.03</v>
      </c>
      <c r="H179" s="619">
        <v>69.98</v>
      </c>
      <c r="I179" s="619">
        <v>71.88</v>
      </c>
      <c r="J179" s="619">
        <v>73.78</v>
      </c>
      <c r="K179" s="619">
        <v>75.679999999999993</v>
      </c>
      <c r="L179" s="619">
        <v>77.58</v>
      </c>
      <c r="M179" s="619">
        <v>79.48</v>
      </c>
      <c r="O179" s="198"/>
    </row>
    <row r="180" spans="1:18" x14ac:dyDescent="0.2">
      <c r="B180" s="192">
        <v>350</v>
      </c>
      <c r="C180" s="619">
        <v>63.33</v>
      </c>
      <c r="D180" s="619">
        <v>64.28</v>
      </c>
      <c r="E180" s="619">
        <v>65.22999999999999</v>
      </c>
      <c r="F180" s="619">
        <v>66.180000000000007</v>
      </c>
      <c r="G180" s="619">
        <v>67.13</v>
      </c>
      <c r="H180" s="619">
        <v>68.08</v>
      </c>
      <c r="I180" s="619">
        <v>69.98</v>
      </c>
      <c r="J180" s="619">
        <v>71.88</v>
      </c>
      <c r="K180" s="619">
        <v>73.78</v>
      </c>
      <c r="L180" s="619">
        <v>75.679999999999993</v>
      </c>
      <c r="M180" s="619">
        <v>77.58</v>
      </c>
      <c r="O180" s="198"/>
    </row>
    <row r="181" spans="1:18" x14ac:dyDescent="0.2">
      <c r="B181" s="202"/>
      <c r="O181" s="198"/>
    </row>
    <row r="182" spans="1:18" x14ac:dyDescent="0.2">
      <c r="B182" s="202"/>
      <c r="O182" s="198"/>
    </row>
    <row r="183" spans="1:18" x14ac:dyDescent="0.2">
      <c r="B183" s="202"/>
      <c r="E183" s="973" t="s">
        <v>553</v>
      </c>
      <c r="F183" s="974"/>
      <c r="O183" s="198"/>
    </row>
    <row r="184" spans="1:18" ht="15.75" x14ac:dyDescent="0.25">
      <c r="B184" s="202"/>
      <c r="F184" s="169">
        <v>21</v>
      </c>
      <c r="M184" s="170">
        <f>+quote20</f>
        <v>0</v>
      </c>
      <c r="N184" s="159"/>
      <c r="O184" s="193">
        <f>+F184</f>
        <v>21</v>
      </c>
      <c r="P184" s="157" t="s">
        <v>775</v>
      </c>
      <c r="Q184" s="194">
        <f>+O184*M184</f>
        <v>0</v>
      </c>
      <c r="R184" s="194" t="s">
        <v>2032</v>
      </c>
    </row>
    <row r="185" spans="1:18" x14ac:dyDescent="0.2">
      <c r="B185" s="202"/>
      <c r="O185" s="198"/>
    </row>
    <row r="186" spans="1:18" x14ac:dyDescent="0.2">
      <c r="B186" s="202"/>
      <c r="E186" s="973" t="s">
        <v>257</v>
      </c>
      <c r="F186" s="974"/>
      <c r="O186" s="198"/>
    </row>
    <row r="187" spans="1:18" ht="15.75" x14ac:dyDescent="0.25">
      <c r="B187" s="202"/>
      <c r="F187" s="169">
        <v>48</v>
      </c>
      <c r="M187" s="170">
        <f>+quote25</f>
        <v>3</v>
      </c>
      <c r="N187" s="159"/>
      <c r="O187" s="193">
        <f>+F187</f>
        <v>48</v>
      </c>
      <c r="P187" s="157" t="s">
        <v>775</v>
      </c>
      <c r="Q187" s="194">
        <f>+O187*M187</f>
        <v>144</v>
      </c>
      <c r="R187" s="194" t="s">
        <v>2033</v>
      </c>
    </row>
    <row r="188" spans="1:18" x14ac:dyDescent="0.2">
      <c r="B188" s="202"/>
      <c r="O188" s="198"/>
    </row>
    <row r="189" spans="1:18" ht="13.5" thickBot="1" x14ac:dyDescent="0.25"/>
    <row r="190" spans="1:18" s="157" customFormat="1" ht="15.6" customHeight="1" x14ac:dyDescent="0.25">
      <c r="A190" s="158"/>
      <c r="B190" s="971" t="s">
        <v>741</v>
      </c>
      <c r="C190" s="972"/>
      <c r="D190" s="972"/>
      <c r="E190" s="972"/>
      <c r="F190" s="197"/>
      <c r="G190" s="197"/>
      <c r="H190" s="208"/>
      <c r="I190" s="208"/>
      <c r="J190" s="208"/>
      <c r="K190" s="208"/>
      <c r="L190" s="208"/>
      <c r="M190" s="204">
        <f>IF(P7Q1="SF1.3",1,0)</f>
        <v>0</v>
      </c>
      <c r="N190" s="197"/>
      <c r="O190" s="205">
        <f>p0q1/1000*30</f>
        <v>100.584</v>
      </c>
      <c r="P190" s="157" t="s">
        <v>776</v>
      </c>
      <c r="Q190" s="194">
        <f>+O190*M190</f>
        <v>0</v>
      </c>
      <c r="R190" s="194" t="s">
        <v>2045</v>
      </c>
    </row>
    <row r="191" spans="1:18" x14ac:dyDescent="0.2">
      <c r="B191" s="202"/>
      <c r="O191" s="198"/>
    </row>
    <row r="192" spans="1:18" x14ac:dyDescent="0.2">
      <c r="B192" s="202"/>
      <c r="O192" s="198"/>
    </row>
    <row r="193" spans="1:18" s="157" customFormat="1" ht="15.6" customHeight="1" x14ac:dyDescent="0.25">
      <c r="A193" s="158"/>
      <c r="B193" s="965" t="s">
        <v>2050</v>
      </c>
      <c r="C193" s="966"/>
      <c r="D193" s="966"/>
      <c r="E193" s="966"/>
      <c r="F193" s="159"/>
      <c r="G193" s="159"/>
      <c r="H193" s="159"/>
      <c r="I193" s="159"/>
      <c r="J193" s="159"/>
      <c r="K193" s="159"/>
      <c r="L193" s="159"/>
      <c r="M193" s="170">
        <f>IF(P7Q1="SF7.1",2,0)</f>
        <v>0</v>
      </c>
      <c r="N193" s="172"/>
      <c r="O193" s="200">
        <f>IF(P7Q5&lt;&gt;0,INDEX(C195:E234,MATCH(p0q1,B195:B234,-1),MATCH(P7Q5,C194:E194)),0)</f>
        <v>0</v>
      </c>
      <c r="P193" s="157" t="s">
        <v>776</v>
      </c>
      <c r="Q193" s="194">
        <f>+O193*M193</f>
        <v>0</v>
      </c>
      <c r="R193" s="194" t="s">
        <v>2047</v>
      </c>
    </row>
    <row r="194" spans="1:18" ht="15.75" x14ac:dyDescent="0.25">
      <c r="A194" s="156"/>
      <c r="B194" s="199" t="s">
        <v>742</v>
      </c>
      <c r="C194" s="166">
        <v>25</v>
      </c>
      <c r="D194" s="166">
        <v>50</v>
      </c>
      <c r="E194" s="166">
        <v>75</v>
      </c>
      <c r="F194" s="159"/>
      <c r="G194" s="159"/>
      <c r="H194" s="159"/>
      <c r="I194" s="159"/>
      <c r="J194" s="159"/>
      <c r="K194" s="159"/>
      <c r="L194" s="159"/>
      <c r="M194" s="159"/>
      <c r="O194" s="198"/>
    </row>
    <row r="195" spans="1:18" ht="15.75" x14ac:dyDescent="0.25">
      <c r="A195" s="156"/>
      <c r="B195" s="192">
        <v>20000</v>
      </c>
      <c r="C195" s="623">
        <v>352.48</v>
      </c>
      <c r="D195" s="623">
        <v>416.48</v>
      </c>
      <c r="E195" s="623">
        <v>456.48</v>
      </c>
      <c r="F195" s="159"/>
      <c r="G195" s="159"/>
      <c r="H195" s="159"/>
      <c r="I195" s="159"/>
      <c r="J195" s="159"/>
      <c r="K195" s="159"/>
      <c r="L195" s="159"/>
      <c r="M195" s="159"/>
      <c r="N195" s="172"/>
      <c r="O195" s="198"/>
      <c r="P195" s="157"/>
    </row>
    <row r="196" spans="1:18" ht="15.75" x14ac:dyDescent="0.25">
      <c r="A196" s="156"/>
      <c r="B196" s="192">
        <f>+B195-500</f>
        <v>19500</v>
      </c>
      <c r="C196" s="623">
        <v>347.63</v>
      </c>
      <c r="D196" s="623">
        <v>410.03000000000003</v>
      </c>
      <c r="E196" s="623">
        <v>449.03000000000003</v>
      </c>
      <c r="F196" s="159"/>
      <c r="G196" s="159"/>
      <c r="H196" s="159"/>
      <c r="I196" s="159"/>
      <c r="J196" s="159"/>
      <c r="K196" s="159"/>
      <c r="L196" s="159"/>
      <c r="M196" s="159"/>
      <c r="N196" s="632"/>
      <c r="O196" s="198"/>
      <c r="P196" s="157"/>
    </row>
    <row r="197" spans="1:18" ht="15.75" x14ac:dyDescent="0.25">
      <c r="A197" s="156"/>
      <c r="B197" s="192">
        <f t="shared" ref="B197:B234" si="1">+B196-500</f>
        <v>19000</v>
      </c>
      <c r="C197" s="623">
        <v>337.9</v>
      </c>
      <c r="D197" s="623">
        <v>398.70000000000005</v>
      </c>
      <c r="E197" s="623">
        <v>436.70000000000005</v>
      </c>
      <c r="F197" s="159"/>
      <c r="G197" s="159"/>
      <c r="H197" s="159"/>
      <c r="I197" s="159"/>
      <c r="J197" s="159"/>
      <c r="K197" s="159"/>
      <c r="L197" s="159"/>
      <c r="M197" s="159"/>
      <c r="N197" s="632"/>
      <c r="O197" s="198"/>
      <c r="P197" s="157"/>
    </row>
    <row r="198" spans="1:18" ht="15.75" x14ac:dyDescent="0.25">
      <c r="A198" s="156"/>
      <c r="B198" s="192">
        <f t="shared" si="1"/>
        <v>18500</v>
      </c>
      <c r="C198" s="623">
        <v>333.04999999999995</v>
      </c>
      <c r="D198" s="623">
        <v>392.25</v>
      </c>
      <c r="E198" s="623">
        <v>429.25</v>
      </c>
      <c r="F198" s="159"/>
      <c r="G198" s="159"/>
      <c r="H198" s="159"/>
      <c r="I198" s="159"/>
      <c r="J198" s="159"/>
      <c r="K198" s="159"/>
      <c r="L198" s="159"/>
      <c r="M198" s="159"/>
      <c r="N198" s="632"/>
      <c r="O198" s="198"/>
      <c r="P198" s="157"/>
    </row>
    <row r="199" spans="1:18" ht="15.75" x14ac:dyDescent="0.25">
      <c r="A199" s="156"/>
      <c r="B199" s="192">
        <f t="shared" si="1"/>
        <v>18000</v>
      </c>
      <c r="C199" s="623">
        <v>323.32</v>
      </c>
      <c r="D199" s="623">
        <v>380.91999999999996</v>
      </c>
      <c r="E199" s="623">
        <v>416.91999999999996</v>
      </c>
      <c r="F199" s="159"/>
      <c r="G199" s="159"/>
      <c r="H199" s="159"/>
      <c r="I199" s="159"/>
      <c r="J199" s="159"/>
      <c r="K199" s="159"/>
      <c r="L199" s="159"/>
      <c r="M199" s="159"/>
      <c r="N199" s="632"/>
      <c r="O199" s="198"/>
      <c r="P199" s="157"/>
    </row>
    <row r="200" spans="1:18" ht="15.75" x14ac:dyDescent="0.25">
      <c r="A200" s="156"/>
      <c r="B200" s="192">
        <f t="shared" si="1"/>
        <v>17500</v>
      </c>
      <c r="C200" s="623">
        <v>318.47000000000003</v>
      </c>
      <c r="D200" s="623">
        <v>374.47</v>
      </c>
      <c r="E200" s="623">
        <v>409.47</v>
      </c>
      <c r="F200" s="159"/>
      <c r="G200" s="159"/>
      <c r="H200" s="159"/>
      <c r="I200" s="159"/>
      <c r="J200" s="159"/>
      <c r="K200" s="159"/>
      <c r="L200" s="159"/>
      <c r="M200" s="159"/>
      <c r="N200" s="632"/>
      <c r="O200" s="198"/>
      <c r="P200" s="157"/>
    </row>
    <row r="201" spans="1:18" ht="15.75" x14ac:dyDescent="0.25">
      <c r="A201" s="156"/>
      <c r="B201" s="192">
        <f t="shared" si="1"/>
        <v>17000</v>
      </c>
      <c r="C201" s="623">
        <v>308.74</v>
      </c>
      <c r="D201" s="623">
        <v>363.14</v>
      </c>
      <c r="E201" s="623">
        <v>397.14</v>
      </c>
      <c r="F201" s="159"/>
      <c r="G201" s="159"/>
      <c r="H201" s="159"/>
      <c r="I201" s="159"/>
      <c r="J201" s="159"/>
      <c r="K201" s="159"/>
      <c r="L201" s="159"/>
      <c r="M201" s="159"/>
      <c r="N201" s="632"/>
      <c r="O201" s="198"/>
      <c r="P201" s="157"/>
    </row>
    <row r="202" spans="1:18" ht="15.75" x14ac:dyDescent="0.25">
      <c r="A202" s="156"/>
      <c r="B202" s="192">
        <f t="shared" si="1"/>
        <v>16500</v>
      </c>
      <c r="C202" s="623">
        <v>303.89</v>
      </c>
      <c r="D202" s="623">
        <v>356.69</v>
      </c>
      <c r="E202" s="623">
        <v>389.69000000000005</v>
      </c>
      <c r="F202" s="159"/>
      <c r="G202" s="159"/>
      <c r="H202" s="159"/>
      <c r="I202" s="159"/>
      <c r="J202" s="159"/>
      <c r="K202" s="159"/>
      <c r="L202" s="159"/>
      <c r="M202" s="159"/>
      <c r="N202" s="632"/>
      <c r="O202" s="198"/>
      <c r="P202" s="157"/>
    </row>
    <row r="203" spans="1:18" ht="15.75" x14ac:dyDescent="0.25">
      <c r="A203" s="156"/>
      <c r="B203" s="192">
        <f t="shared" si="1"/>
        <v>16000</v>
      </c>
      <c r="C203" s="623">
        <v>294.15999999999997</v>
      </c>
      <c r="D203" s="623">
        <v>345.36</v>
      </c>
      <c r="E203" s="623">
        <v>377.35999999999996</v>
      </c>
      <c r="F203" s="159"/>
      <c r="G203" s="159"/>
      <c r="H203" s="159"/>
      <c r="I203" s="159"/>
      <c r="J203" s="159"/>
      <c r="K203" s="159"/>
      <c r="L203" s="159"/>
      <c r="M203" s="159"/>
      <c r="N203" s="632"/>
      <c r="O203" s="198"/>
      <c r="P203" s="157"/>
    </row>
    <row r="204" spans="1:18" ht="15.75" x14ac:dyDescent="0.25">
      <c r="A204" s="156"/>
      <c r="B204" s="192">
        <f t="shared" si="1"/>
        <v>15500</v>
      </c>
      <c r="C204" s="623">
        <v>289.31</v>
      </c>
      <c r="D204" s="623">
        <v>338.90999999999997</v>
      </c>
      <c r="E204" s="623">
        <v>369.90999999999997</v>
      </c>
      <c r="F204" s="159"/>
      <c r="G204" s="159"/>
      <c r="H204" s="159"/>
      <c r="I204" s="159"/>
      <c r="J204" s="159"/>
      <c r="K204" s="159"/>
      <c r="L204" s="159"/>
      <c r="M204" s="159"/>
      <c r="N204" s="632"/>
      <c r="O204" s="198"/>
      <c r="P204" s="157"/>
    </row>
    <row r="205" spans="1:18" ht="15.75" x14ac:dyDescent="0.25">
      <c r="A205" s="156"/>
      <c r="B205" s="192">
        <f t="shared" si="1"/>
        <v>15000</v>
      </c>
      <c r="C205" s="623">
        <v>267.58</v>
      </c>
      <c r="D205" s="623">
        <v>315.58</v>
      </c>
      <c r="E205" s="623">
        <v>345.58</v>
      </c>
      <c r="F205" s="159"/>
      <c r="G205" s="159"/>
      <c r="H205" s="159"/>
      <c r="I205" s="159"/>
      <c r="J205" s="159"/>
      <c r="K205" s="159"/>
      <c r="L205" s="159"/>
      <c r="M205" s="159"/>
      <c r="N205" s="632"/>
      <c r="O205" s="198"/>
      <c r="P205" s="157"/>
    </row>
    <row r="206" spans="1:18" ht="15.75" x14ac:dyDescent="0.25">
      <c r="A206" s="156"/>
      <c r="B206" s="192">
        <f t="shared" si="1"/>
        <v>14500</v>
      </c>
      <c r="C206" s="623">
        <v>262.73</v>
      </c>
      <c r="D206" s="623">
        <v>309.13</v>
      </c>
      <c r="E206" s="623">
        <v>338.13</v>
      </c>
      <c r="F206" s="159"/>
      <c r="G206" s="159"/>
      <c r="H206" s="159"/>
      <c r="I206" s="159"/>
      <c r="J206" s="159"/>
      <c r="K206" s="159"/>
      <c r="L206" s="159"/>
      <c r="M206" s="159"/>
      <c r="O206" s="198"/>
    </row>
    <row r="207" spans="1:18" ht="15.75" x14ac:dyDescent="0.25">
      <c r="A207" s="156"/>
      <c r="B207" s="192">
        <f t="shared" si="1"/>
        <v>14000</v>
      </c>
      <c r="C207" s="623">
        <v>253</v>
      </c>
      <c r="D207" s="623">
        <v>297.8</v>
      </c>
      <c r="E207" s="623">
        <v>325.8</v>
      </c>
      <c r="F207" s="159"/>
      <c r="G207" s="159"/>
      <c r="K207" s="159"/>
      <c r="L207" s="159"/>
      <c r="M207" s="159"/>
      <c r="O207" s="198"/>
    </row>
    <row r="208" spans="1:18" ht="15.75" x14ac:dyDescent="0.25">
      <c r="B208" s="192">
        <f t="shared" si="1"/>
        <v>13500</v>
      </c>
      <c r="C208" s="623">
        <v>248.14999999999998</v>
      </c>
      <c r="D208" s="623">
        <v>291.35000000000002</v>
      </c>
      <c r="E208" s="623">
        <v>318.35000000000002</v>
      </c>
      <c r="F208" s="159"/>
      <c r="G208" s="159"/>
      <c r="K208" s="159"/>
      <c r="L208" s="159"/>
      <c r="M208" s="159"/>
      <c r="O208" s="198"/>
    </row>
    <row r="209" spans="2:15" ht="15.75" x14ac:dyDescent="0.25">
      <c r="B209" s="192">
        <f t="shared" si="1"/>
        <v>13000</v>
      </c>
      <c r="C209" s="623">
        <v>238.41999999999996</v>
      </c>
      <c r="D209" s="623">
        <v>280.02</v>
      </c>
      <c r="E209" s="623">
        <v>306.02</v>
      </c>
      <c r="F209" s="159"/>
      <c r="G209" s="159"/>
      <c r="K209" s="159"/>
      <c r="L209" s="159"/>
      <c r="M209" s="159"/>
      <c r="O209" s="198"/>
    </row>
    <row r="210" spans="2:15" ht="15.75" x14ac:dyDescent="0.25">
      <c r="B210" s="192">
        <f t="shared" si="1"/>
        <v>12500</v>
      </c>
      <c r="C210" s="623">
        <v>233.57</v>
      </c>
      <c r="D210" s="623">
        <v>273.57</v>
      </c>
      <c r="E210" s="623">
        <v>298.57</v>
      </c>
      <c r="F210" s="159"/>
      <c r="G210" s="159"/>
      <c r="K210" s="159"/>
      <c r="L210" s="159"/>
      <c r="M210" s="159"/>
      <c r="O210" s="198"/>
    </row>
    <row r="211" spans="2:15" ht="15.75" x14ac:dyDescent="0.25">
      <c r="B211" s="192">
        <f t="shared" si="1"/>
        <v>12000</v>
      </c>
      <c r="C211" s="623">
        <v>223.83999999999997</v>
      </c>
      <c r="D211" s="623">
        <v>262.24</v>
      </c>
      <c r="E211" s="623">
        <v>286.24</v>
      </c>
      <c r="F211" s="159"/>
      <c r="G211" s="159"/>
      <c r="K211" s="159"/>
      <c r="L211" s="159"/>
      <c r="M211" s="159"/>
      <c r="O211" s="198"/>
    </row>
    <row r="212" spans="2:15" ht="15.75" x14ac:dyDescent="0.25">
      <c r="B212" s="192">
        <f t="shared" si="1"/>
        <v>11500</v>
      </c>
      <c r="C212" s="623">
        <v>218.98999999999998</v>
      </c>
      <c r="D212" s="623">
        <v>255.79</v>
      </c>
      <c r="E212" s="623">
        <v>278.78999999999996</v>
      </c>
      <c r="F212" s="159"/>
      <c r="G212" s="159"/>
      <c r="K212" s="159"/>
      <c r="L212" s="159"/>
      <c r="M212" s="159"/>
    </row>
    <row r="213" spans="2:15" ht="15.75" x14ac:dyDescent="0.25">
      <c r="B213" s="192">
        <f t="shared" si="1"/>
        <v>11000</v>
      </c>
      <c r="C213" s="623">
        <v>209.26</v>
      </c>
      <c r="D213" s="623">
        <v>244.46</v>
      </c>
      <c r="E213" s="623">
        <v>266.46000000000004</v>
      </c>
      <c r="F213" s="159"/>
      <c r="G213" s="159"/>
      <c r="K213" s="159"/>
      <c r="L213" s="159"/>
      <c r="M213" s="159"/>
    </row>
    <row r="214" spans="2:15" ht="15.75" x14ac:dyDescent="0.25">
      <c r="B214" s="192">
        <f t="shared" si="1"/>
        <v>10500</v>
      </c>
      <c r="C214" s="623">
        <v>204.40999999999997</v>
      </c>
      <c r="D214" s="623">
        <v>238.01</v>
      </c>
      <c r="E214" s="623">
        <v>259.01</v>
      </c>
      <c r="F214" s="159"/>
      <c r="G214" s="159"/>
      <c r="K214" s="159"/>
      <c r="L214" s="159"/>
      <c r="M214" s="159"/>
    </row>
    <row r="215" spans="2:15" ht="15.75" x14ac:dyDescent="0.25">
      <c r="B215" s="192">
        <f t="shared" si="1"/>
        <v>10000</v>
      </c>
      <c r="C215" s="623">
        <v>182.68</v>
      </c>
      <c r="D215" s="623">
        <v>214.68</v>
      </c>
      <c r="E215" s="623">
        <v>234.68</v>
      </c>
      <c r="F215" s="159"/>
      <c r="G215" s="159"/>
      <c r="K215" s="159"/>
      <c r="L215" s="159"/>
      <c r="M215" s="159"/>
    </row>
    <row r="216" spans="2:15" ht="15.75" x14ac:dyDescent="0.25">
      <c r="B216" s="192">
        <f t="shared" si="1"/>
        <v>9500</v>
      </c>
      <c r="C216" s="623">
        <v>177.83</v>
      </c>
      <c r="D216" s="623">
        <v>208.23000000000002</v>
      </c>
      <c r="E216" s="623">
        <v>227.23000000000002</v>
      </c>
      <c r="F216" s="159"/>
      <c r="G216" s="159"/>
      <c r="K216" s="159"/>
      <c r="L216" s="159"/>
      <c r="M216" s="159"/>
    </row>
    <row r="217" spans="2:15" ht="15.75" x14ac:dyDescent="0.25">
      <c r="B217" s="192">
        <f t="shared" si="1"/>
        <v>9000</v>
      </c>
      <c r="C217" s="623">
        <v>168.1</v>
      </c>
      <c r="D217" s="623">
        <v>196.89999999999998</v>
      </c>
      <c r="E217" s="623">
        <v>214.89999999999998</v>
      </c>
      <c r="F217" s="159"/>
      <c r="G217" s="159"/>
      <c r="K217" s="159"/>
      <c r="L217" s="159"/>
      <c r="M217" s="159"/>
    </row>
    <row r="218" spans="2:15" ht="15.75" x14ac:dyDescent="0.25">
      <c r="B218" s="192">
        <f t="shared" si="1"/>
        <v>8500</v>
      </c>
      <c r="C218" s="623">
        <v>163.25</v>
      </c>
      <c r="D218" s="623">
        <v>190.45</v>
      </c>
      <c r="E218" s="623">
        <v>207.45</v>
      </c>
      <c r="F218" s="159"/>
      <c r="G218" s="159"/>
      <c r="K218" s="159"/>
      <c r="L218" s="159"/>
      <c r="M218" s="159"/>
    </row>
    <row r="219" spans="2:15" ht="15.75" x14ac:dyDescent="0.25">
      <c r="B219" s="192">
        <f t="shared" si="1"/>
        <v>8000</v>
      </c>
      <c r="C219" s="623">
        <v>153.51999999999998</v>
      </c>
      <c r="D219" s="623">
        <v>179.12</v>
      </c>
      <c r="E219" s="623">
        <v>195.12</v>
      </c>
      <c r="F219" s="159"/>
      <c r="G219" s="159"/>
      <c r="K219" s="159"/>
      <c r="L219" s="159"/>
      <c r="M219" s="159"/>
    </row>
    <row r="220" spans="2:15" ht="15.75" x14ac:dyDescent="0.25">
      <c r="B220" s="192">
        <f t="shared" si="1"/>
        <v>7500</v>
      </c>
      <c r="C220" s="623">
        <v>148.67000000000002</v>
      </c>
      <c r="D220" s="623">
        <v>172.67000000000002</v>
      </c>
      <c r="E220" s="623">
        <v>187.67000000000002</v>
      </c>
      <c r="F220" s="159"/>
      <c r="G220" s="159"/>
      <c r="K220" s="159"/>
      <c r="L220" s="159"/>
      <c r="M220" s="159"/>
    </row>
    <row r="221" spans="2:15" ht="15.75" x14ac:dyDescent="0.25">
      <c r="B221" s="192">
        <f t="shared" si="1"/>
        <v>7000</v>
      </c>
      <c r="C221" s="623">
        <v>138.94</v>
      </c>
      <c r="D221" s="623">
        <v>161.34</v>
      </c>
      <c r="E221" s="623">
        <v>175.34</v>
      </c>
      <c r="F221" s="159"/>
      <c r="G221" s="159"/>
      <c r="K221" s="159"/>
      <c r="L221" s="159"/>
      <c r="M221" s="159"/>
    </row>
    <row r="222" spans="2:15" ht="15.75" x14ac:dyDescent="0.25">
      <c r="B222" s="192">
        <f t="shared" si="1"/>
        <v>6500</v>
      </c>
      <c r="C222" s="623">
        <v>134.08999999999997</v>
      </c>
      <c r="D222" s="623">
        <v>154.88999999999999</v>
      </c>
      <c r="E222" s="623">
        <v>167.89</v>
      </c>
      <c r="F222" s="159"/>
      <c r="G222" s="159"/>
      <c r="K222" s="159"/>
      <c r="L222" s="159"/>
      <c r="M222" s="159"/>
    </row>
    <row r="223" spans="2:15" ht="15.75" x14ac:dyDescent="0.25">
      <c r="B223" s="192">
        <f t="shared" si="1"/>
        <v>6000</v>
      </c>
      <c r="C223" s="623">
        <v>124.35999999999999</v>
      </c>
      <c r="D223" s="623">
        <v>143.56</v>
      </c>
      <c r="E223" s="623">
        <v>155.56</v>
      </c>
      <c r="F223" s="159"/>
      <c r="G223" s="159"/>
      <c r="K223" s="159"/>
      <c r="L223" s="159"/>
      <c r="M223" s="159"/>
    </row>
    <row r="224" spans="2:15" ht="15.75" x14ac:dyDescent="0.25">
      <c r="B224" s="192">
        <f t="shared" si="1"/>
        <v>5500</v>
      </c>
      <c r="C224" s="623">
        <v>119.50999999999999</v>
      </c>
      <c r="D224" s="623">
        <v>137.11000000000001</v>
      </c>
      <c r="E224" s="623">
        <v>148.11000000000001</v>
      </c>
      <c r="F224" s="159"/>
      <c r="G224" s="159"/>
      <c r="K224" s="159"/>
      <c r="L224" s="159"/>
      <c r="M224" s="159"/>
    </row>
    <row r="225" spans="2:18" ht="15.75" x14ac:dyDescent="0.25">
      <c r="B225" s="192">
        <f>+B224-500</f>
        <v>5000</v>
      </c>
      <c r="C225" s="623">
        <v>97.78</v>
      </c>
      <c r="D225" s="623">
        <v>113.78</v>
      </c>
      <c r="E225" s="623">
        <v>123.78</v>
      </c>
      <c r="F225" s="159"/>
      <c r="G225" s="159"/>
      <c r="K225" s="159"/>
      <c r="L225" s="159"/>
      <c r="M225" s="159"/>
    </row>
    <row r="226" spans="2:18" ht="15.75" x14ac:dyDescent="0.25">
      <c r="B226" s="192">
        <f t="shared" si="1"/>
        <v>4500</v>
      </c>
      <c r="C226" s="623">
        <v>92.93</v>
      </c>
      <c r="D226" s="623">
        <v>107.33</v>
      </c>
      <c r="E226" s="623">
        <v>116.33</v>
      </c>
      <c r="F226" s="159"/>
      <c r="G226" s="159"/>
      <c r="K226" s="159"/>
      <c r="L226" s="159"/>
      <c r="M226" s="159"/>
    </row>
    <row r="227" spans="2:18" ht="15.75" x14ac:dyDescent="0.25">
      <c r="B227" s="192">
        <f t="shared" si="1"/>
        <v>4000</v>
      </c>
      <c r="C227" s="623">
        <v>83.199999999999989</v>
      </c>
      <c r="D227" s="623">
        <v>96</v>
      </c>
      <c r="E227" s="623">
        <v>104</v>
      </c>
      <c r="F227" s="159"/>
      <c r="G227" s="159"/>
      <c r="K227" s="159"/>
      <c r="L227" s="159"/>
      <c r="M227" s="159"/>
    </row>
    <row r="228" spans="2:18" ht="15.75" x14ac:dyDescent="0.25">
      <c r="B228" s="192">
        <f t="shared" si="1"/>
        <v>3500</v>
      </c>
      <c r="C228" s="623">
        <v>78.349999999999994</v>
      </c>
      <c r="D228" s="623">
        <v>89.550000000000011</v>
      </c>
      <c r="E228" s="623">
        <v>96.550000000000011</v>
      </c>
      <c r="F228" s="159"/>
      <c r="G228" s="159"/>
      <c r="K228" s="159"/>
      <c r="L228" s="159"/>
      <c r="M228" s="159"/>
    </row>
    <row r="229" spans="2:18" ht="15.75" x14ac:dyDescent="0.25">
      <c r="B229" s="192">
        <f t="shared" si="1"/>
        <v>3000</v>
      </c>
      <c r="C229" s="623">
        <v>68.61999999999999</v>
      </c>
      <c r="D229" s="623">
        <v>78.22</v>
      </c>
      <c r="E229" s="623">
        <v>84.22</v>
      </c>
      <c r="F229" s="159"/>
      <c r="G229" s="159"/>
      <c r="K229" s="159"/>
      <c r="L229" s="159"/>
      <c r="M229" s="159"/>
    </row>
    <row r="230" spans="2:18" ht="15.75" x14ac:dyDescent="0.25">
      <c r="B230" s="192">
        <f t="shared" si="1"/>
        <v>2500</v>
      </c>
      <c r="C230" s="623">
        <v>63.769999999999996</v>
      </c>
      <c r="D230" s="623">
        <v>71.77</v>
      </c>
      <c r="E230" s="623">
        <v>76.77</v>
      </c>
      <c r="F230" s="159"/>
      <c r="G230" s="159"/>
      <c r="K230" s="159"/>
      <c r="L230" s="159"/>
      <c r="M230" s="159"/>
    </row>
    <row r="231" spans="2:18" ht="15.75" x14ac:dyDescent="0.25">
      <c r="B231" s="192">
        <f t="shared" si="1"/>
        <v>2000</v>
      </c>
      <c r="C231" s="623">
        <v>54.04</v>
      </c>
      <c r="D231" s="623">
        <v>60.44</v>
      </c>
      <c r="E231" s="623">
        <v>64.44</v>
      </c>
      <c r="F231" s="159"/>
      <c r="G231" s="159"/>
      <c r="K231" s="159"/>
      <c r="L231" s="159"/>
      <c r="M231" s="159"/>
    </row>
    <row r="232" spans="2:18" ht="15.75" x14ac:dyDescent="0.25">
      <c r="B232" s="192">
        <f t="shared" si="1"/>
        <v>1500</v>
      </c>
      <c r="C232" s="623">
        <v>49.19</v>
      </c>
      <c r="D232" s="623">
        <v>53.99</v>
      </c>
      <c r="E232" s="623">
        <v>56.99</v>
      </c>
      <c r="F232" s="159"/>
      <c r="G232" s="159"/>
      <c r="K232" s="159"/>
      <c r="L232" s="159"/>
      <c r="M232" s="159"/>
    </row>
    <row r="233" spans="2:18" ht="15.75" x14ac:dyDescent="0.25">
      <c r="B233" s="192">
        <f t="shared" si="1"/>
        <v>1000</v>
      </c>
      <c r="C233" s="623">
        <v>39.46</v>
      </c>
      <c r="D233" s="623">
        <v>42.66</v>
      </c>
      <c r="E233" s="623">
        <v>44.66</v>
      </c>
      <c r="F233" s="159"/>
      <c r="G233" s="159"/>
      <c r="K233" s="159"/>
      <c r="L233" s="159"/>
      <c r="M233" s="159"/>
    </row>
    <row r="234" spans="2:18" ht="15.75" x14ac:dyDescent="0.25">
      <c r="B234" s="192">
        <f t="shared" si="1"/>
        <v>500</v>
      </c>
      <c r="C234" s="623">
        <v>34.61</v>
      </c>
      <c r="D234" s="623">
        <v>36.21</v>
      </c>
      <c r="E234" s="623">
        <v>37.21</v>
      </c>
      <c r="F234" s="159"/>
      <c r="G234" s="159"/>
      <c r="K234" s="159"/>
      <c r="L234" s="159"/>
      <c r="M234" s="159"/>
    </row>
    <row r="235" spans="2:18" ht="15.75" x14ac:dyDescent="0.25">
      <c r="B235" s="622"/>
      <c r="C235" s="624"/>
      <c r="D235" s="624"/>
      <c r="E235" s="624"/>
      <c r="F235" s="159"/>
      <c r="G235" s="159"/>
      <c r="K235" s="159"/>
      <c r="L235" s="159"/>
      <c r="M235" s="159"/>
    </row>
    <row r="236" spans="2:18" ht="15.75" x14ac:dyDescent="0.25">
      <c r="B236" s="622"/>
      <c r="C236" s="624"/>
      <c r="D236" s="624"/>
      <c r="E236" s="624"/>
      <c r="F236" s="159"/>
      <c r="G236" s="159"/>
      <c r="K236" s="159"/>
      <c r="L236" s="159"/>
      <c r="M236" s="159"/>
    </row>
    <row r="237" spans="2:18" ht="15.75" x14ac:dyDescent="0.25">
      <c r="B237" s="965" t="s">
        <v>2051</v>
      </c>
      <c r="C237" s="967"/>
      <c r="D237" s="967"/>
      <c r="E237" s="967"/>
      <c r="F237" s="967"/>
      <c r="G237" s="967"/>
      <c r="H237" s="159"/>
      <c r="I237" s="159"/>
      <c r="J237" s="159"/>
      <c r="K237" s="159"/>
      <c r="L237" s="159"/>
      <c r="M237" s="170">
        <f>IF(p0q8="Adjustable",2,0)</f>
        <v>2</v>
      </c>
      <c r="N237" s="172"/>
      <c r="O237" s="200">
        <f>IF(p0q8="Adjustable",INDEX(C239:D278,MATCH(p0q1,B239:B278,-1),MATCH(P8Q1,C238:D238)),0)</f>
        <v>266.75</v>
      </c>
      <c r="P237" s="157" t="s">
        <v>776</v>
      </c>
      <c r="Q237" s="194">
        <f>+O237*M237</f>
        <v>533.5</v>
      </c>
      <c r="R237" s="194" t="s">
        <v>2048</v>
      </c>
    </row>
    <row r="238" spans="2:18" ht="15.75" x14ac:dyDescent="0.25">
      <c r="B238" s="199" t="s">
        <v>1066</v>
      </c>
      <c r="C238" s="625" t="s">
        <v>389</v>
      </c>
      <c r="D238" s="625" t="s">
        <v>388</v>
      </c>
      <c r="E238" s="159"/>
      <c r="F238" s="159"/>
      <c r="G238" s="159"/>
      <c r="H238" s="159"/>
      <c r="I238" s="159"/>
      <c r="J238" s="159"/>
      <c r="K238" s="159"/>
      <c r="L238" s="159"/>
      <c r="M238" s="159"/>
      <c r="O238" s="198"/>
    </row>
    <row r="239" spans="2:18" ht="15.75" x14ac:dyDescent="0.25">
      <c r="B239" s="192">
        <v>20000</v>
      </c>
      <c r="C239" s="623">
        <v>734.78</v>
      </c>
      <c r="D239" s="623">
        <v>1384.78</v>
      </c>
      <c r="E239" s="159"/>
      <c r="F239" s="159"/>
      <c r="G239" s="159"/>
      <c r="H239" s="159"/>
      <c r="I239" s="159"/>
      <c r="J239" s="159"/>
      <c r="K239" s="159"/>
      <c r="L239" s="159"/>
      <c r="M239" s="159"/>
      <c r="N239" s="172"/>
      <c r="O239" s="198"/>
      <c r="P239" s="157"/>
    </row>
    <row r="240" spans="2:18" ht="15.75" x14ac:dyDescent="0.25">
      <c r="B240" s="192">
        <f>+B239-500</f>
        <v>19500</v>
      </c>
      <c r="C240" s="623">
        <v>729.48</v>
      </c>
      <c r="D240" s="623">
        <v>1363.23</v>
      </c>
      <c r="E240" s="159"/>
      <c r="F240" s="159"/>
      <c r="G240" s="159"/>
      <c r="H240" s="159"/>
      <c r="I240" s="159"/>
      <c r="J240" s="159"/>
      <c r="K240" s="159"/>
      <c r="L240" s="159"/>
      <c r="M240" s="159"/>
      <c r="N240" s="632"/>
      <c r="O240" s="198"/>
      <c r="P240" s="157"/>
    </row>
    <row r="241" spans="2:16" ht="15.75" x14ac:dyDescent="0.25">
      <c r="B241" s="192">
        <f t="shared" ref="B241:B278" si="2">+B240-500</f>
        <v>19000</v>
      </c>
      <c r="C241" s="623">
        <v>701</v>
      </c>
      <c r="D241" s="623">
        <v>1318.5</v>
      </c>
      <c r="E241" s="159"/>
      <c r="F241" s="159"/>
      <c r="G241" s="159"/>
      <c r="H241" s="159"/>
      <c r="I241" s="159"/>
      <c r="J241" s="159"/>
      <c r="K241" s="159"/>
      <c r="L241" s="159"/>
      <c r="M241" s="159"/>
      <c r="N241" s="632"/>
      <c r="O241" s="198"/>
      <c r="P241" s="157"/>
    </row>
    <row r="242" spans="2:16" ht="15.75" x14ac:dyDescent="0.25">
      <c r="B242" s="192">
        <f t="shared" si="2"/>
        <v>18500</v>
      </c>
      <c r="C242" s="623">
        <v>695.7</v>
      </c>
      <c r="D242" s="623">
        <v>1296.95</v>
      </c>
      <c r="E242" s="159"/>
      <c r="F242" s="159"/>
      <c r="G242" s="159"/>
      <c r="H242" s="159"/>
      <c r="I242" s="159"/>
      <c r="J242" s="159"/>
      <c r="K242" s="159"/>
      <c r="L242" s="159"/>
      <c r="M242" s="159"/>
      <c r="N242" s="632"/>
      <c r="O242" s="198"/>
      <c r="P242" s="157"/>
    </row>
    <row r="243" spans="2:16" ht="15.75" x14ac:dyDescent="0.25">
      <c r="B243" s="192">
        <f t="shared" si="2"/>
        <v>18000</v>
      </c>
      <c r="C243" s="623">
        <v>667.22</v>
      </c>
      <c r="D243" s="623">
        <v>1252.22</v>
      </c>
      <c r="E243" s="159"/>
      <c r="F243" s="159"/>
      <c r="G243" s="159"/>
      <c r="H243" s="159"/>
      <c r="I243" s="159"/>
      <c r="J243" s="159"/>
      <c r="K243" s="159"/>
      <c r="L243" s="159"/>
      <c r="M243" s="159"/>
      <c r="N243" s="632"/>
      <c r="O243" s="198"/>
      <c r="P243" s="157"/>
    </row>
    <row r="244" spans="2:16" ht="15.75" x14ac:dyDescent="0.25">
      <c r="B244" s="192">
        <f t="shared" si="2"/>
        <v>17500</v>
      </c>
      <c r="C244" s="623">
        <v>661.92000000000007</v>
      </c>
      <c r="D244" s="623">
        <v>1230.67</v>
      </c>
      <c r="E244" s="159"/>
      <c r="F244" s="159"/>
      <c r="G244" s="159"/>
      <c r="H244" s="159"/>
      <c r="I244" s="159"/>
      <c r="J244" s="159"/>
      <c r="K244" s="159"/>
      <c r="L244" s="159"/>
      <c r="M244" s="159"/>
      <c r="N244" s="632"/>
      <c r="O244" s="198"/>
      <c r="P244" s="157"/>
    </row>
    <row r="245" spans="2:16" ht="15.75" x14ac:dyDescent="0.25">
      <c r="B245" s="192">
        <f t="shared" si="2"/>
        <v>17000</v>
      </c>
      <c r="C245" s="623">
        <v>633.44000000000005</v>
      </c>
      <c r="D245" s="623">
        <v>1185.94</v>
      </c>
      <c r="E245" s="159"/>
      <c r="F245" s="159"/>
      <c r="G245" s="159"/>
      <c r="H245" s="159"/>
      <c r="I245" s="159"/>
      <c r="J245" s="159"/>
      <c r="K245" s="159"/>
      <c r="L245" s="159"/>
      <c r="M245" s="159"/>
      <c r="N245" s="632"/>
      <c r="O245" s="198"/>
      <c r="P245" s="157"/>
    </row>
    <row r="246" spans="2:16" ht="15.75" x14ac:dyDescent="0.25">
      <c r="B246" s="192">
        <f t="shared" si="2"/>
        <v>16500</v>
      </c>
      <c r="C246" s="623">
        <v>628.14</v>
      </c>
      <c r="D246" s="623">
        <v>1164.3899999999999</v>
      </c>
      <c r="E246" s="159"/>
      <c r="F246" s="159"/>
      <c r="G246" s="159"/>
      <c r="H246" s="159"/>
      <c r="I246" s="159"/>
      <c r="J246" s="159"/>
      <c r="K246" s="159"/>
      <c r="L246" s="159"/>
      <c r="M246" s="159"/>
      <c r="N246" s="632"/>
      <c r="O246" s="198"/>
      <c r="P246" s="157"/>
    </row>
    <row r="247" spans="2:16" ht="15.75" x14ac:dyDescent="0.25">
      <c r="B247" s="192">
        <f t="shared" si="2"/>
        <v>16000</v>
      </c>
      <c r="C247" s="623">
        <v>599.66</v>
      </c>
      <c r="D247" s="623">
        <v>1119.6600000000001</v>
      </c>
      <c r="E247" s="159"/>
      <c r="F247" s="159"/>
      <c r="G247" s="159"/>
      <c r="H247" s="159"/>
      <c r="I247" s="159"/>
      <c r="J247" s="159"/>
      <c r="K247" s="159"/>
      <c r="L247" s="159"/>
      <c r="M247" s="159"/>
      <c r="N247" s="632"/>
      <c r="O247" s="198"/>
      <c r="P247" s="157"/>
    </row>
    <row r="248" spans="2:16" ht="15.75" x14ac:dyDescent="0.25">
      <c r="B248" s="192">
        <f t="shared" si="2"/>
        <v>15500</v>
      </c>
      <c r="C248" s="623">
        <v>594.36</v>
      </c>
      <c r="D248" s="623">
        <v>1098.1099999999999</v>
      </c>
      <c r="E248" s="159"/>
      <c r="F248" s="159"/>
      <c r="G248" s="159"/>
      <c r="H248" s="159"/>
      <c r="I248" s="159"/>
      <c r="J248" s="159"/>
      <c r="K248" s="159"/>
      <c r="L248" s="159"/>
      <c r="M248" s="159"/>
      <c r="N248" s="632"/>
      <c r="O248" s="198"/>
      <c r="P248" s="157"/>
    </row>
    <row r="249" spans="2:16" ht="15.75" x14ac:dyDescent="0.25">
      <c r="B249" s="192">
        <f t="shared" si="2"/>
        <v>15000</v>
      </c>
      <c r="C249" s="623">
        <v>553.88</v>
      </c>
      <c r="D249" s="623">
        <v>1041.3800000000001</v>
      </c>
      <c r="E249" s="159"/>
      <c r="F249" s="159"/>
      <c r="G249" s="159"/>
      <c r="H249" s="159"/>
      <c r="I249" s="159"/>
      <c r="J249" s="159"/>
      <c r="K249" s="159"/>
      <c r="L249" s="159"/>
      <c r="M249" s="159"/>
      <c r="N249" s="632"/>
      <c r="O249" s="198"/>
      <c r="P249" s="157"/>
    </row>
    <row r="250" spans="2:16" ht="15.75" x14ac:dyDescent="0.25">
      <c r="B250" s="192">
        <f t="shared" si="2"/>
        <v>14500</v>
      </c>
      <c r="C250" s="623">
        <v>548.57999999999993</v>
      </c>
      <c r="D250" s="623">
        <v>1019.83</v>
      </c>
      <c r="E250" s="159"/>
      <c r="F250" s="159"/>
      <c r="G250" s="159"/>
      <c r="H250" s="159"/>
      <c r="I250" s="159"/>
      <c r="J250" s="159"/>
      <c r="K250" s="159"/>
      <c r="L250" s="159"/>
      <c r="M250" s="159"/>
      <c r="O250" s="198"/>
    </row>
    <row r="251" spans="2:16" ht="15.75" x14ac:dyDescent="0.25">
      <c r="B251" s="192">
        <f t="shared" si="2"/>
        <v>14000</v>
      </c>
      <c r="C251" s="623">
        <v>520.1</v>
      </c>
      <c r="D251" s="623">
        <v>975.09999999999991</v>
      </c>
      <c r="E251" s="159"/>
      <c r="F251" s="159"/>
      <c r="G251" s="159"/>
      <c r="K251" s="159"/>
      <c r="L251" s="159"/>
      <c r="M251" s="159"/>
      <c r="O251" s="198"/>
    </row>
    <row r="252" spans="2:16" ht="15.75" x14ac:dyDescent="0.25">
      <c r="B252" s="192">
        <f t="shared" si="2"/>
        <v>13500</v>
      </c>
      <c r="C252" s="623">
        <v>514.79999999999995</v>
      </c>
      <c r="D252" s="623">
        <v>953.55</v>
      </c>
      <c r="E252" s="159"/>
      <c r="F252" s="159"/>
      <c r="G252" s="159"/>
      <c r="K252" s="159"/>
      <c r="L252" s="159"/>
      <c r="M252" s="159"/>
      <c r="O252" s="198"/>
    </row>
    <row r="253" spans="2:16" ht="15.75" x14ac:dyDescent="0.25">
      <c r="B253" s="192">
        <f t="shared" si="2"/>
        <v>13000</v>
      </c>
      <c r="C253" s="623">
        <v>486.32</v>
      </c>
      <c r="D253" s="623">
        <v>908.81999999999994</v>
      </c>
      <c r="E253" s="159"/>
      <c r="F253" s="159"/>
      <c r="G253" s="159"/>
      <c r="K253" s="159"/>
      <c r="L253" s="159"/>
      <c r="M253" s="159"/>
      <c r="O253" s="198"/>
    </row>
    <row r="254" spans="2:16" ht="15.75" x14ac:dyDescent="0.25">
      <c r="B254" s="192">
        <f t="shared" si="2"/>
        <v>12500</v>
      </c>
      <c r="C254" s="623">
        <v>481.02</v>
      </c>
      <c r="D254" s="623">
        <v>887.27</v>
      </c>
      <c r="E254" s="159"/>
      <c r="F254" s="159"/>
      <c r="G254" s="159"/>
      <c r="K254" s="159"/>
      <c r="L254" s="159"/>
      <c r="M254" s="159"/>
      <c r="O254" s="198"/>
    </row>
    <row r="255" spans="2:16" ht="15.75" x14ac:dyDescent="0.25">
      <c r="B255" s="192">
        <f t="shared" si="2"/>
        <v>12000</v>
      </c>
      <c r="C255" s="623">
        <v>452.53999999999996</v>
      </c>
      <c r="D255" s="623">
        <v>842.54</v>
      </c>
      <c r="E255" s="159"/>
      <c r="F255" s="159"/>
      <c r="G255" s="159"/>
      <c r="K255" s="159"/>
      <c r="L255" s="159"/>
      <c r="M255" s="159"/>
      <c r="O255" s="198"/>
    </row>
    <row r="256" spans="2:16" ht="15.75" x14ac:dyDescent="0.25">
      <c r="B256" s="192">
        <f t="shared" si="2"/>
        <v>11500</v>
      </c>
      <c r="C256" s="623">
        <v>447.24</v>
      </c>
      <c r="D256" s="623">
        <v>820.99</v>
      </c>
      <c r="E256" s="159"/>
      <c r="F256" s="159"/>
      <c r="G256" s="159"/>
      <c r="K256" s="159"/>
      <c r="L256" s="159"/>
      <c r="M256" s="159"/>
    </row>
    <row r="257" spans="2:13" ht="15.75" x14ac:dyDescent="0.25">
      <c r="B257" s="192">
        <f t="shared" si="2"/>
        <v>11000</v>
      </c>
      <c r="C257" s="623">
        <v>418.76</v>
      </c>
      <c r="D257" s="623">
        <v>776.26</v>
      </c>
      <c r="E257" s="159"/>
      <c r="F257" s="159"/>
      <c r="G257" s="159"/>
      <c r="K257" s="159"/>
      <c r="L257" s="159"/>
      <c r="M257" s="159"/>
    </row>
    <row r="258" spans="2:13" ht="15.75" x14ac:dyDescent="0.25">
      <c r="B258" s="192">
        <f t="shared" si="2"/>
        <v>10500</v>
      </c>
      <c r="C258" s="623">
        <v>413.46</v>
      </c>
      <c r="D258" s="623">
        <v>754.71</v>
      </c>
      <c r="E258" s="159"/>
      <c r="F258" s="159"/>
      <c r="G258" s="159"/>
      <c r="K258" s="159"/>
      <c r="L258" s="159"/>
      <c r="M258" s="159"/>
    </row>
    <row r="259" spans="2:13" ht="15.75" x14ac:dyDescent="0.25">
      <c r="B259" s="192">
        <f t="shared" si="2"/>
        <v>10000</v>
      </c>
      <c r="C259" s="623">
        <v>372.98</v>
      </c>
      <c r="D259" s="623">
        <v>697.98</v>
      </c>
      <c r="E259" s="159"/>
      <c r="F259" s="159"/>
      <c r="G259" s="159"/>
      <c r="K259" s="159"/>
      <c r="L259" s="159"/>
      <c r="M259" s="159"/>
    </row>
    <row r="260" spans="2:13" ht="15.75" x14ac:dyDescent="0.25">
      <c r="B260" s="192">
        <f t="shared" si="2"/>
        <v>9500</v>
      </c>
      <c r="C260" s="623">
        <v>367.68</v>
      </c>
      <c r="D260" s="623">
        <v>676.43</v>
      </c>
      <c r="E260" s="159"/>
      <c r="F260" s="159"/>
      <c r="G260" s="159"/>
      <c r="K260" s="159"/>
      <c r="L260" s="159"/>
      <c r="M260" s="159"/>
    </row>
    <row r="261" spans="2:13" ht="15.75" x14ac:dyDescent="0.25">
      <c r="B261" s="192">
        <f t="shared" si="2"/>
        <v>9000</v>
      </c>
      <c r="C261" s="623">
        <v>339.20000000000005</v>
      </c>
      <c r="D261" s="623">
        <v>631.70000000000005</v>
      </c>
      <c r="E261" s="159"/>
      <c r="F261" s="159"/>
      <c r="G261" s="159"/>
      <c r="K261" s="159"/>
      <c r="L261" s="159"/>
      <c r="M261" s="159"/>
    </row>
    <row r="262" spans="2:13" ht="15.75" x14ac:dyDescent="0.25">
      <c r="B262" s="192">
        <f t="shared" si="2"/>
        <v>8500</v>
      </c>
      <c r="C262" s="623">
        <v>333.9</v>
      </c>
      <c r="D262" s="623">
        <v>610.15000000000009</v>
      </c>
      <c r="E262" s="159"/>
      <c r="F262" s="159"/>
      <c r="G262" s="159"/>
      <c r="K262" s="159"/>
      <c r="L262" s="159"/>
      <c r="M262" s="159"/>
    </row>
    <row r="263" spans="2:13" ht="15.75" x14ac:dyDescent="0.25">
      <c r="B263" s="192">
        <f t="shared" si="2"/>
        <v>8000</v>
      </c>
      <c r="C263" s="623">
        <v>305.42</v>
      </c>
      <c r="D263" s="623">
        <v>565.42000000000007</v>
      </c>
      <c r="E263" s="159"/>
      <c r="F263" s="159"/>
      <c r="G263" s="159"/>
      <c r="K263" s="159"/>
      <c r="L263" s="159"/>
      <c r="M263" s="159"/>
    </row>
    <row r="264" spans="2:13" ht="15.75" x14ac:dyDescent="0.25">
      <c r="B264" s="192">
        <f t="shared" si="2"/>
        <v>7500</v>
      </c>
      <c r="C264" s="623">
        <v>300.12</v>
      </c>
      <c r="D264" s="623">
        <v>543.87</v>
      </c>
      <c r="E264" s="159"/>
      <c r="F264" s="159"/>
      <c r="G264" s="159"/>
      <c r="K264" s="159"/>
      <c r="L264" s="159"/>
      <c r="M264" s="159"/>
    </row>
    <row r="265" spans="2:13" ht="15.75" x14ac:dyDescent="0.25">
      <c r="B265" s="192">
        <f t="shared" si="2"/>
        <v>7000</v>
      </c>
      <c r="C265" s="623">
        <v>271.64</v>
      </c>
      <c r="D265" s="623">
        <v>499.14</v>
      </c>
      <c r="E265" s="159"/>
      <c r="F265" s="159"/>
      <c r="G265" s="159"/>
      <c r="K265" s="159"/>
      <c r="L265" s="159"/>
      <c r="M265" s="159"/>
    </row>
    <row r="266" spans="2:13" ht="15.75" x14ac:dyDescent="0.25">
      <c r="B266" s="192">
        <f t="shared" si="2"/>
        <v>6500</v>
      </c>
      <c r="C266" s="623">
        <v>266.34000000000003</v>
      </c>
      <c r="D266" s="623">
        <v>477.59</v>
      </c>
      <c r="E266" s="159"/>
      <c r="F266" s="159"/>
      <c r="G266" s="159"/>
      <c r="K266" s="159"/>
      <c r="L266" s="159"/>
      <c r="M266" s="159"/>
    </row>
    <row r="267" spans="2:13" ht="15.75" x14ac:dyDescent="0.25">
      <c r="B267" s="192">
        <f t="shared" si="2"/>
        <v>6000</v>
      </c>
      <c r="C267" s="623">
        <v>237.85999999999999</v>
      </c>
      <c r="D267" s="623">
        <v>432.86</v>
      </c>
      <c r="E267" s="159"/>
      <c r="F267" s="159"/>
      <c r="G267" s="159"/>
      <c r="K267" s="159"/>
      <c r="L267" s="159"/>
      <c r="M267" s="159"/>
    </row>
    <row r="268" spans="2:13" ht="15.75" x14ac:dyDescent="0.25">
      <c r="B268" s="192">
        <f t="shared" si="2"/>
        <v>5500</v>
      </c>
      <c r="C268" s="623">
        <v>232.56</v>
      </c>
      <c r="D268" s="623">
        <v>411.31</v>
      </c>
      <c r="E268" s="159"/>
      <c r="F268" s="159"/>
      <c r="G268" s="159"/>
      <c r="K268" s="159"/>
      <c r="L268" s="159"/>
      <c r="M268" s="159"/>
    </row>
    <row r="269" spans="2:13" ht="15.75" x14ac:dyDescent="0.25">
      <c r="B269" s="192">
        <f>+B268-500</f>
        <v>5000</v>
      </c>
      <c r="C269" s="623">
        <v>192.07999999999998</v>
      </c>
      <c r="D269" s="623">
        <v>354.58</v>
      </c>
      <c r="E269" s="159"/>
      <c r="F269" s="159"/>
      <c r="G269" s="159"/>
      <c r="K269" s="159"/>
      <c r="L269" s="159"/>
      <c r="M269" s="159"/>
    </row>
    <row r="270" spans="2:13" ht="15.75" x14ac:dyDescent="0.25">
      <c r="B270" s="192">
        <f t="shared" si="2"/>
        <v>4500</v>
      </c>
      <c r="C270" s="623">
        <v>186.77999999999997</v>
      </c>
      <c r="D270" s="623">
        <v>333.03</v>
      </c>
      <c r="E270" s="159"/>
      <c r="F270" s="159"/>
      <c r="G270" s="159"/>
      <c r="K270" s="159"/>
      <c r="L270" s="159"/>
      <c r="M270" s="159"/>
    </row>
    <row r="271" spans="2:13" ht="15.75" x14ac:dyDescent="0.25">
      <c r="B271" s="192">
        <f t="shared" si="2"/>
        <v>4000</v>
      </c>
      <c r="C271" s="623">
        <v>158.30000000000001</v>
      </c>
      <c r="D271" s="623">
        <v>288.3</v>
      </c>
      <c r="E271" s="159"/>
      <c r="F271" s="159"/>
      <c r="G271" s="159"/>
      <c r="K271" s="159"/>
      <c r="L271" s="159"/>
      <c r="M271" s="159"/>
    </row>
    <row r="272" spans="2:13" ht="15.75" x14ac:dyDescent="0.25">
      <c r="B272" s="192">
        <f t="shared" si="2"/>
        <v>3500</v>
      </c>
      <c r="C272" s="623">
        <v>153</v>
      </c>
      <c r="D272" s="623">
        <v>266.75</v>
      </c>
      <c r="E272" s="159"/>
      <c r="F272" s="159"/>
      <c r="G272" s="159"/>
      <c r="K272" s="159"/>
      <c r="L272" s="159"/>
      <c r="M272" s="159"/>
    </row>
    <row r="273" spans="2:13" ht="15.75" x14ac:dyDescent="0.25">
      <c r="B273" s="192">
        <f t="shared" si="2"/>
        <v>3000</v>
      </c>
      <c r="C273" s="623">
        <v>124.52</v>
      </c>
      <c r="D273" s="623">
        <v>222.02</v>
      </c>
      <c r="E273" s="159"/>
      <c r="F273" s="159"/>
      <c r="G273" s="159"/>
      <c r="K273" s="159"/>
      <c r="L273" s="159"/>
      <c r="M273" s="159"/>
    </row>
    <row r="274" spans="2:13" ht="15.75" x14ac:dyDescent="0.25">
      <c r="B274" s="192">
        <f t="shared" si="2"/>
        <v>2500</v>
      </c>
      <c r="C274" s="623">
        <v>119.22</v>
      </c>
      <c r="D274" s="623">
        <v>200.47</v>
      </c>
      <c r="E274" s="159"/>
      <c r="F274" s="159"/>
      <c r="G274" s="159"/>
      <c r="K274" s="159"/>
      <c r="L274" s="159"/>
      <c r="M274" s="159"/>
    </row>
    <row r="275" spans="2:13" ht="15.75" x14ac:dyDescent="0.25">
      <c r="B275" s="192">
        <f t="shared" si="2"/>
        <v>2000</v>
      </c>
      <c r="C275" s="623">
        <v>90.74</v>
      </c>
      <c r="D275" s="623">
        <v>155.74</v>
      </c>
      <c r="E275" s="159"/>
      <c r="F275" s="159"/>
      <c r="G275" s="159"/>
      <c r="K275" s="159"/>
      <c r="L275" s="159"/>
      <c r="M275" s="159"/>
    </row>
    <row r="276" spans="2:13" ht="15.75" x14ac:dyDescent="0.25">
      <c r="B276" s="192">
        <f t="shared" si="2"/>
        <v>1500</v>
      </c>
      <c r="C276" s="623">
        <v>85.44</v>
      </c>
      <c r="D276" s="623">
        <v>134.19</v>
      </c>
      <c r="E276" s="159"/>
      <c r="F276" s="159"/>
      <c r="G276" s="159"/>
      <c r="K276" s="159"/>
      <c r="L276" s="159"/>
      <c r="M276" s="159"/>
    </row>
    <row r="277" spans="2:13" ht="15.75" x14ac:dyDescent="0.25">
      <c r="B277" s="192">
        <f t="shared" si="2"/>
        <v>1000</v>
      </c>
      <c r="C277" s="623">
        <v>56.96</v>
      </c>
      <c r="D277" s="623">
        <v>89.460000000000008</v>
      </c>
      <c r="E277" s="159"/>
      <c r="F277" s="159"/>
      <c r="G277" s="159"/>
      <c r="K277" s="159"/>
      <c r="L277" s="159"/>
      <c r="M277" s="159"/>
    </row>
    <row r="278" spans="2:13" ht="15.75" x14ac:dyDescent="0.25">
      <c r="B278" s="192">
        <f t="shared" si="2"/>
        <v>500</v>
      </c>
      <c r="C278" s="623">
        <v>51.66</v>
      </c>
      <c r="D278" s="623">
        <v>67.91</v>
      </c>
      <c r="E278" s="159"/>
      <c r="F278" s="159"/>
      <c r="G278" s="159"/>
      <c r="K278" s="159"/>
      <c r="L278" s="159"/>
      <c r="M278" s="159"/>
    </row>
    <row r="279" spans="2:13" ht="15.75" x14ac:dyDescent="0.25">
      <c r="B279" s="622"/>
      <c r="C279" s="624"/>
      <c r="D279" s="624"/>
      <c r="E279" s="624"/>
      <c r="F279" s="159"/>
      <c r="G279" s="159"/>
      <c r="K279" s="159"/>
      <c r="L279" s="159"/>
      <c r="M279" s="159"/>
    </row>
    <row r="280" spans="2:13" ht="15.75" x14ac:dyDescent="0.25">
      <c r="B280" s="622"/>
      <c r="C280" s="624"/>
      <c r="D280" s="624"/>
      <c r="E280" s="624"/>
      <c r="F280" s="159"/>
      <c r="G280" s="159"/>
      <c r="K280" s="159"/>
      <c r="L280" s="159"/>
      <c r="M280" s="159"/>
    </row>
    <row r="281" spans="2:13" ht="15.75" x14ac:dyDescent="0.25">
      <c r="B281" s="622"/>
      <c r="C281" s="624"/>
      <c r="D281" s="624"/>
      <c r="E281" s="624"/>
      <c r="F281" s="159"/>
      <c r="G281" s="159"/>
      <c r="K281" s="159"/>
      <c r="L281" s="159"/>
      <c r="M281" s="159"/>
    </row>
    <row r="282" spans="2:13" ht="15.75" x14ac:dyDescent="0.25">
      <c r="B282" s="622"/>
      <c r="C282" s="624"/>
      <c r="D282" s="624"/>
      <c r="E282" s="624"/>
      <c r="F282" s="159"/>
      <c r="G282" s="159"/>
      <c r="K282" s="159"/>
      <c r="L282" s="159"/>
      <c r="M282" s="159"/>
    </row>
    <row r="283" spans="2:13" ht="15.75" x14ac:dyDescent="0.25">
      <c r="B283" s="622"/>
      <c r="C283" s="624"/>
      <c r="D283" s="624"/>
      <c r="E283" s="624"/>
      <c r="F283" s="159"/>
      <c r="G283" s="159"/>
      <c r="K283" s="159"/>
      <c r="L283" s="159"/>
      <c r="M283" s="159"/>
    </row>
    <row r="284" spans="2:13" ht="15.75" x14ac:dyDescent="0.25">
      <c r="B284" s="622"/>
      <c r="C284" s="624"/>
      <c r="D284" s="624"/>
      <c r="E284" s="624"/>
      <c r="F284" s="159"/>
      <c r="G284" s="159"/>
      <c r="K284" s="159"/>
      <c r="L284" s="159"/>
      <c r="M284" s="159"/>
    </row>
    <row r="285" spans="2:13" ht="15.75" x14ac:dyDescent="0.25">
      <c r="B285" s="622"/>
      <c r="C285" s="624"/>
      <c r="D285" s="624"/>
      <c r="E285" s="624"/>
      <c r="F285" s="159"/>
      <c r="G285" s="159"/>
      <c r="K285" s="159"/>
      <c r="L285" s="159"/>
      <c r="M285" s="159"/>
    </row>
    <row r="286" spans="2:13" ht="15.75" x14ac:dyDescent="0.25">
      <c r="B286" s="622"/>
      <c r="C286" s="624"/>
      <c r="D286" s="624"/>
      <c r="E286" s="624"/>
      <c r="F286" s="159"/>
      <c r="G286" s="159"/>
      <c r="K286" s="159"/>
      <c r="L286" s="159"/>
      <c r="M286" s="159"/>
    </row>
    <row r="287" spans="2:13" ht="15.75" x14ac:dyDescent="0.25">
      <c r="B287" s="622"/>
      <c r="C287" s="624"/>
      <c r="D287" s="624"/>
      <c r="E287" s="624"/>
      <c r="F287" s="159"/>
      <c r="G287" s="159"/>
      <c r="K287" s="159"/>
      <c r="L287" s="159"/>
      <c r="M287" s="159"/>
    </row>
    <row r="288" spans="2:13" ht="15.75" x14ac:dyDescent="0.25">
      <c r="B288" s="622"/>
      <c r="C288" s="624"/>
      <c r="D288" s="624"/>
      <c r="E288" s="624"/>
      <c r="F288" s="159"/>
      <c r="G288" s="159"/>
      <c r="K288" s="159"/>
      <c r="L288" s="159"/>
      <c r="M288" s="159"/>
    </row>
    <row r="289" spans="2:13" ht="15.75" x14ac:dyDescent="0.25">
      <c r="B289" s="622"/>
      <c r="C289" s="624"/>
      <c r="D289" s="624"/>
      <c r="E289" s="624"/>
      <c r="F289" s="159"/>
      <c r="G289" s="159"/>
      <c r="K289" s="159"/>
      <c r="L289" s="159"/>
      <c r="M289" s="159"/>
    </row>
    <row r="290" spans="2:13" ht="15.75" x14ac:dyDescent="0.25">
      <c r="B290" s="622"/>
      <c r="C290" s="624"/>
      <c r="D290" s="624"/>
      <c r="E290" s="624"/>
      <c r="F290" s="159"/>
      <c r="G290" s="159"/>
      <c r="K290" s="159"/>
      <c r="L290" s="159"/>
      <c r="M290" s="159"/>
    </row>
    <row r="291" spans="2:13" ht="15.75" x14ac:dyDescent="0.25">
      <c r="B291" s="622"/>
      <c r="C291" s="624"/>
      <c r="D291" s="624"/>
      <c r="E291" s="624"/>
      <c r="F291" s="159"/>
      <c r="G291" s="159"/>
      <c r="K291" s="159"/>
      <c r="L291" s="159"/>
      <c r="M291" s="159"/>
    </row>
    <row r="292" spans="2:13" ht="15.75" x14ac:dyDescent="0.25">
      <c r="B292" s="622"/>
      <c r="C292" s="624"/>
      <c r="D292" s="624"/>
      <c r="E292" s="624"/>
      <c r="F292" s="159"/>
      <c r="G292" s="159"/>
      <c r="K292" s="159"/>
      <c r="L292" s="159"/>
      <c r="M292" s="159"/>
    </row>
    <row r="293" spans="2:13" ht="15.75" x14ac:dyDescent="0.25">
      <c r="B293" s="622"/>
      <c r="C293" s="624"/>
      <c r="D293" s="624"/>
      <c r="E293" s="624"/>
      <c r="F293" s="159"/>
      <c r="G293" s="159"/>
      <c r="K293" s="159"/>
      <c r="L293" s="159"/>
      <c r="M293" s="159"/>
    </row>
    <row r="294" spans="2:13" ht="15.75" x14ac:dyDescent="0.25">
      <c r="B294" s="622"/>
      <c r="C294" s="624"/>
      <c r="D294" s="624"/>
      <c r="E294" s="624"/>
      <c r="F294" s="159"/>
      <c r="G294" s="159"/>
      <c r="K294" s="159"/>
      <c r="L294" s="159"/>
      <c r="M294" s="159"/>
    </row>
    <row r="295" spans="2:13" ht="15.75" x14ac:dyDescent="0.25">
      <c r="B295" s="622"/>
      <c r="C295" s="624"/>
      <c r="D295" s="624"/>
      <c r="E295" s="624"/>
      <c r="F295" s="159"/>
      <c r="G295" s="159"/>
      <c r="K295" s="159"/>
      <c r="L295" s="159"/>
      <c r="M295" s="159"/>
    </row>
    <row r="296" spans="2:13" ht="15.75" x14ac:dyDescent="0.25">
      <c r="B296" s="622"/>
      <c r="C296" s="624"/>
      <c r="D296" s="624"/>
      <c r="E296" s="624"/>
      <c r="F296" s="159"/>
      <c r="G296" s="159"/>
      <c r="K296" s="159"/>
      <c r="L296" s="159"/>
      <c r="M296" s="159"/>
    </row>
    <row r="297" spans="2:13" ht="15.75" x14ac:dyDescent="0.25">
      <c r="B297" s="622"/>
      <c r="C297" s="624"/>
      <c r="D297" s="624"/>
      <c r="E297" s="624"/>
      <c r="F297" s="159"/>
      <c r="G297" s="159"/>
      <c r="K297" s="159"/>
      <c r="L297" s="159"/>
      <c r="M297" s="159"/>
    </row>
    <row r="298" spans="2:13" ht="15.75" x14ac:dyDescent="0.25">
      <c r="B298" s="622"/>
      <c r="C298" s="624"/>
      <c r="D298" s="624"/>
      <c r="E298" s="624"/>
      <c r="F298" s="159"/>
      <c r="G298" s="159"/>
      <c r="K298" s="159"/>
      <c r="L298" s="159"/>
      <c r="M298" s="159"/>
    </row>
    <row r="299" spans="2:13" ht="15.75" x14ac:dyDescent="0.25">
      <c r="B299" s="622"/>
      <c r="C299" s="624"/>
      <c r="D299" s="624"/>
      <c r="E299" s="624"/>
      <c r="F299" s="159"/>
      <c r="G299" s="159"/>
      <c r="K299" s="159"/>
      <c r="L299" s="159"/>
      <c r="M299" s="159"/>
    </row>
    <row r="300" spans="2:13" ht="15.75" x14ac:dyDescent="0.25">
      <c r="B300" s="622"/>
      <c r="C300" s="624"/>
      <c r="D300" s="624"/>
      <c r="E300" s="624"/>
      <c r="F300" s="159"/>
      <c r="G300" s="159"/>
      <c r="K300" s="159"/>
      <c r="L300" s="159"/>
      <c r="M300" s="159"/>
    </row>
    <row r="301" spans="2:13" ht="15.75" x14ac:dyDescent="0.25">
      <c r="B301" s="622"/>
      <c r="C301" s="624"/>
      <c r="D301" s="624"/>
      <c r="E301" s="624"/>
      <c r="F301" s="159"/>
      <c r="G301" s="159"/>
      <c r="K301" s="159"/>
      <c r="L301" s="159"/>
      <c r="M301" s="159"/>
    </row>
    <row r="302" spans="2:13" ht="15.75" x14ac:dyDescent="0.25">
      <c r="B302" s="622"/>
      <c r="C302" s="624"/>
      <c r="D302" s="624"/>
      <c r="E302" s="624"/>
      <c r="F302" s="159"/>
      <c r="G302" s="159"/>
      <c r="K302" s="159"/>
      <c r="L302" s="159"/>
      <c r="M302" s="159"/>
    </row>
    <row r="303" spans="2:13" ht="15.75" x14ac:dyDescent="0.25">
      <c r="B303" s="622"/>
      <c r="C303" s="624"/>
      <c r="D303" s="624"/>
      <c r="E303" s="624"/>
      <c r="F303" s="159"/>
      <c r="G303" s="159"/>
      <c r="K303" s="159"/>
      <c r="L303" s="159"/>
      <c r="M303" s="159"/>
    </row>
    <row r="304" spans="2:13" ht="15.75" x14ac:dyDescent="0.25">
      <c r="B304" s="622"/>
      <c r="C304" s="624"/>
      <c r="D304" s="624"/>
      <c r="E304" s="624"/>
      <c r="F304" s="159"/>
      <c r="G304" s="159"/>
      <c r="K304" s="159"/>
      <c r="L304" s="159"/>
      <c r="M304" s="159"/>
    </row>
    <row r="305" spans="2:13" ht="15.75" x14ac:dyDescent="0.25">
      <c r="B305" s="622"/>
      <c r="C305" s="624"/>
      <c r="D305" s="624"/>
      <c r="E305" s="624"/>
      <c r="F305" s="159"/>
      <c r="G305" s="159"/>
      <c r="K305" s="159"/>
      <c r="L305" s="159"/>
      <c r="M305" s="159"/>
    </row>
    <row r="306" spans="2:13" ht="15.75" x14ac:dyDescent="0.25">
      <c r="B306" s="622"/>
      <c r="C306" s="624"/>
      <c r="D306" s="624"/>
      <c r="E306" s="624"/>
      <c r="F306" s="159"/>
      <c r="G306" s="159"/>
      <c r="K306" s="159"/>
      <c r="L306" s="159"/>
      <c r="M306" s="159"/>
    </row>
    <row r="307" spans="2:13" ht="15.75" x14ac:dyDescent="0.25">
      <c r="B307" s="622"/>
      <c r="C307" s="624"/>
      <c r="D307" s="624"/>
      <c r="E307" s="624"/>
      <c r="F307" s="159"/>
      <c r="G307" s="159"/>
      <c r="K307" s="159"/>
      <c r="L307" s="159"/>
      <c r="M307" s="159"/>
    </row>
    <row r="308" spans="2:13" ht="15.75" x14ac:dyDescent="0.25">
      <c r="B308" s="622"/>
      <c r="C308" s="624"/>
      <c r="D308" s="624"/>
      <c r="E308" s="624"/>
      <c r="F308" s="159"/>
      <c r="G308" s="159"/>
      <c r="K308" s="159"/>
      <c r="L308" s="159"/>
      <c r="M308" s="159"/>
    </row>
    <row r="309" spans="2:13" ht="15.75" x14ac:dyDescent="0.25">
      <c r="B309" s="622"/>
      <c r="C309" s="624"/>
      <c r="D309" s="624"/>
      <c r="E309" s="624"/>
      <c r="F309" s="159"/>
      <c r="G309" s="159"/>
      <c r="K309" s="159"/>
      <c r="L309" s="159"/>
      <c r="M309" s="159"/>
    </row>
    <row r="310" spans="2:13" ht="15.75" x14ac:dyDescent="0.25">
      <c r="B310" s="622"/>
      <c r="C310" s="624"/>
      <c r="D310" s="624"/>
      <c r="E310" s="624"/>
      <c r="F310" s="159"/>
      <c r="G310" s="159"/>
      <c r="K310" s="159"/>
      <c r="L310" s="159"/>
      <c r="M310" s="159"/>
    </row>
    <row r="311" spans="2:13" ht="15.75" x14ac:dyDescent="0.25">
      <c r="B311" s="622"/>
      <c r="C311" s="624"/>
      <c r="D311" s="624"/>
      <c r="E311" s="624"/>
      <c r="F311" s="159"/>
      <c r="G311" s="159"/>
      <c r="K311" s="159"/>
      <c r="L311" s="159"/>
      <c r="M311" s="159"/>
    </row>
    <row r="312" spans="2:13" ht="15.75" x14ac:dyDescent="0.25">
      <c r="B312" s="622"/>
      <c r="C312" s="624"/>
      <c r="D312" s="624"/>
      <c r="E312" s="624"/>
      <c r="F312" s="159"/>
      <c r="G312" s="159"/>
      <c r="K312" s="159"/>
      <c r="L312" s="159"/>
      <c r="M312" s="159"/>
    </row>
    <row r="313" spans="2:13" ht="15.75" x14ac:dyDescent="0.25">
      <c r="B313" s="622"/>
      <c r="C313" s="624"/>
      <c r="D313" s="624"/>
      <c r="E313" s="624"/>
      <c r="F313" s="159"/>
      <c r="G313" s="159"/>
      <c r="K313" s="159"/>
      <c r="L313" s="159"/>
      <c r="M313" s="159"/>
    </row>
    <row r="314" spans="2:13" ht="15.75" x14ac:dyDescent="0.25">
      <c r="B314" s="622"/>
      <c r="C314" s="624"/>
      <c r="D314" s="624"/>
      <c r="E314" s="624"/>
      <c r="F314" s="159"/>
      <c r="G314" s="159"/>
      <c r="K314" s="159"/>
      <c r="L314" s="159"/>
      <c r="M314" s="159"/>
    </row>
    <row r="315" spans="2:13" ht="15.75" x14ac:dyDescent="0.25">
      <c r="B315" s="622"/>
      <c r="C315" s="624"/>
      <c r="D315" s="624"/>
      <c r="E315" s="624"/>
      <c r="F315" s="159"/>
      <c r="G315" s="159"/>
      <c r="K315" s="159"/>
      <c r="L315" s="159"/>
      <c r="M315" s="159"/>
    </row>
    <row r="316" spans="2:13" ht="15.75" x14ac:dyDescent="0.25">
      <c r="B316" s="622"/>
      <c r="C316" s="624"/>
      <c r="D316" s="624"/>
      <c r="E316" s="624"/>
      <c r="F316" s="159"/>
      <c r="G316" s="159"/>
      <c r="K316" s="159"/>
      <c r="L316" s="159"/>
      <c r="M316" s="159"/>
    </row>
    <row r="317" spans="2:13" ht="15.75" x14ac:dyDescent="0.25">
      <c r="B317" s="622"/>
      <c r="C317" s="624"/>
      <c r="D317" s="624"/>
      <c r="E317" s="624"/>
      <c r="F317" s="159"/>
      <c r="G317" s="159"/>
      <c r="K317" s="159"/>
      <c r="L317" s="159"/>
      <c r="M317" s="159"/>
    </row>
    <row r="318" spans="2:13" ht="15.75" x14ac:dyDescent="0.25">
      <c r="B318" s="622"/>
      <c r="C318" s="624"/>
      <c r="D318" s="624"/>
      <c r="E318" s="624"/>
      <c r="F318" s="159"/>
      <c r="G318" s="159"/>
      <c r="K318" s="159"/>
      <c r="L318" s="159"/>
      <c r="M318" s="159"/>
    </row>
    <row r="319" spans="2:13" ht="15.75" x14ac:dyDescent="0.25">
      <c r="B319" s="622"/>
      <c r="C319" s="624"/>
      <c r="D319" s="624"/>
      <c r="E319" s="624"/>
      <c r="F319" s="159"/>
      <c r="G319" s="159"/>
      <c r="K319" s="159"/>
      <c r="L319" s="159"/>
      <c r="M319" s="159"/>
    </row>
    <row r="320" spans="2:13" ht="15.75" x14ac:dyDescent="0.25">
      <c r="B320" s="622"/>
      <c r="C320" s="624"/>
      <c r="D320" s="624"/>
      <c r="E320" s="624"/>
      <c r="F320" s="159"/>
      <c r="G320" s="159"/>
      <c r="K320" s="159"/>
      <c r="L320" s="159"/>
      <c r="M320" s="159"/>
    </row>
    <row r="321" spans="2:13" ht="15.75" x14ac:dyDescent="0.25">
      <c r="B321" s="622"/>
      <c r="C321" s="624"/>
      <c r="D321" s="624"/>
      <c r="E321" s="624"/>
      <c r="F321" s="159"/>
      <c r="G321" s="159"/>
      <c r="K321" s="159"/>
      <c r="L321" s="159"/>
      <c r="M321" s="159"/>
    </row>
    <row r="322" spans="2:13" ht="15.75" x14ac:dyDescent="0.25">
      <c r="B322" s="622"/>
      <c r="C322" s="624"/>
      <c r="D322" s="624"/>
      <c r="E322" s="624"/>
      <c r="F322" s="159"/>
      <c r="G322" s="159"/>
      <c r="K322" s="159"/>
      <c r="L322" s="159"/>
      <c r="M322" s="159"/>
    </row>
    <row r="323" spans="2:13" ht="15.75" x14ac:dyDescent="0.25">
      <c r="B323" s="622"/>
      <c r="C323" s="624"/>
      <c r="D323" s="624"/>
      <c r="E323" s="624"/>
      <c r="F323" s="159"/>
      <c r="G323" s="159"/>
      <c r="K323" s="159"/>
      <c r="L323" s="159"/>
      <c r="M323" s="159"/>
    </row>
    <row r="324" spans="2:13" ht="15.75" x14ac:dyDescent="0.25">
      <c r="B324" s="622"/>
      <c r="C324" s="624"/>
      <c r="D324" s="624"/>
      <c r="E324" s="624"/>
      <c r="F324" s="159"/>
      <c r="G324" s="159"/>
      <c r="K324" s="159"/>
      <c r="L324" s="159"/>
      <c r="M324" s="159"/>
    </row>
    <row r="325" spans="2:13" ht="15.75" x14ac:dyDescent="0.25">
      <c r="B325" s="622"/>
      <c r="C325" s="624"/>
      <c r="D325" s="624"/>
      <c r="E325" s="624"/>
      <c r="F325" s="159"/>
      <c r="G325" s="159"/>
      <c r="K325" s="159"/>
      <c r="L325" s="159"/>
      <c r="M325" s="159"/>
    </row>
    <row r="326" spans="2:13" ht="15.75" x14ac:dyDescent="0.25">
      <c r="B326" s="622"/>
      <c r="C326" s="624"/>
      <c r="D326" s="624"/>
      <c r="E326" s="624"/>
      <c r="F326" s="159"/>
      <c r="G326" s="159"/>
      <c r="K326" s="159"/>
      <c r="L326" s="159"/>
      <c r="M326" s="159"/>
    </row>
    <row r="327" spans="2:13" ht="15.75" x14ac:dyDescent="0.25">
      <c r="B327" s="622"/>
      <c r="C327" s="624"/>
      <c r="D327" s="624"/>
      <c r="E327" s="624"/>
      <c r="F327" s="159"/>
      <c r="G327" s="159"/>
      <c r="K327" s="159"/>
      <c r="L327" s="159"/>
      <c r="M327" s="159"/>
    </row>
    <row r="328" spans="2:13" ht="15.75" x14ac:dyDescent="0.25">
      <c r="B328" s="622"/>
      <c r="C328" s="624"/>
      <c r="D328" s="624"/>
      <c r="E328" s="624"/>
      <c r="F328" s="159"/>
      <c r="G328" s="159"/>
      <c r="K328" s="159"/>
      <c r="L328" s="159"/>
      <c r="M328" s="159"/>
    </row>
    <row r="329" spans="2:13" ht="15.75" x14ac:dyDescent="0.25">
      <c r="B329" s="622"/>
      <c r="C329" s="624"/>
      <c r="D329" s="624"/>
      <c r="E329" s="624"/>
      <c r="F329" s="159"/>
      <c r="G329" s="159"/>
      <c r="K329" s="159"/>
      <c r="L329" s="159"/>
      <c r="M329" s="159"/>
    </row>
    <row r="330" spans="2:13" ht="15.75" x14ac:dyDescent="0.25">
      <c r="B330" s="622"/>
      <c r="C330" s="624"/>
      <c r="D330" s="624"/>
      <c r="E330" s="624"/>
      <c r="F330" s="159"/>
      <c r="G330" s="159"/>
      <c r="K330" s="159"/>
      <c r="L330" s="159"/>
      <c r="M330" s="159"/>
    </row>
    <row r="331" spans="2:13" ht="15.75" x14ac:dyDescent="0.25">
      <c r="B331" s="622"/>
      <c r="C331" s="624"/>
      <c r="D331" s="624"/>
      <c r="E331" s="624"/>
      <c r="F331" s="159"/>
      <c r="G331" s="159"/>
      <c r="K331" s="159"/>
      <c r="L331" s="159"/>
      <c r="M331" s="159"/>
    </row>
    <row r="332" spans="2:13" ht="15.75" x14ac:dyDescent="0.25">
      <c r="B332" s="622"/>
      <c r="C332" s="624"/>
      <c r="D332" s="624"/>
      <c r="E332" s="624"/>
      <c r="F332" s="159"/>
      <c r="G332" s="159"/>
      <c r="K332" s="159"/>
      <c r="L332" s="159"/>
      <c r="M332" s="159"/>
    </row>
    <row r="333" spans="2:13" ht="15.75" x14ac:dyDescent="0.25">
      <c r="B333" s="622"/>
      <c r="C333" s="624"/>
      <c r="D333" s="624"/>
      <c r="E333" s="624"/>
      <c r="F333" s="159"/>
      <c r="G333" s="159"/>
      <c r="K333" s="159"/>
      <c r="L333" s="159"/>
      <c r="M333" s="159"/>
    </row>
    <row r="334" spans="2:13" ht="15.75" x14ac:dyDescent="0.25">
      <c r="B334" s="622"/>
      <c r="C334" s="624"/>
      <c r="D334" s="624"/>
      <c r="E334" s="624"/>
      <c r="F334" s="159"/>
      <c r="G334" s="159"/>
      <c r="K334" s="159"/>
      <c r="L334" s="159"/>
      <c r="M334" s="159"/>
    </row>
    <row r="335" spans="2:13" ht="15.75" x14ac:dyDescent="0.25">
      <c r="B335" s="622"/>
      <c r="C335" s="624"/>
      <c r="D335" s="624"/>
      <c r="E335" s="624"/>
      <c r="F335" s="159"/>
      <c r="G335" s="159"/>
      <c r="K335" s="159"/>
      <c r="L335" s="159"/>
      <c r="M335" s="159"/>
    </row>
    <row r="336" spans="2:13" ht="15.75" x14ac:dyDescent="0.25">
      <c r="B336" s="622"/>
      <c r="C336" s="624"/>
      <c r="D336" s="624"/>
      <c r="E336" s="624"/>
      <c r="F336" s="159"/>
      <c r="G336" s="159"/>
      <c r="K336" s="159"/>
      <c r="L336" s="159"/>
      <c r="M336" s="159"/>
    </row>
    <row r="337" spans="2:13" ht="15.75" x14ac:dyDescent="0.25">
      <c r="B337" s="622"/>
      <c r="C337" s="624"/>
      <c r="D337" s="624"/>
      <c r="E337" s="624"/>
      <c r="F337" s="159"/>
      <c r="G337" s="159"/>
      <c r="K337" s="159"/>
      <c r="L337" s="159"/>
      <c r="M337" s="159"/>
    </row>
    <row r="338" spans="2:13" ht="15.75" x14ac:dyDescent="0.25">
      <c r="B338" s="622"/>
      <c r="C338" s="624"/>
      <c r="D338" s="624"/>
      <c r="E338" s="624"/>
      <c r="F338" s="159"/>
      <c r="G338" s="159"/>
      <c r="K338" s="159"/>
      <c r="L338" s="159"/>
      <c r="M338" s="159"/>
    </row>
    <row r="339" spans="2:13" ht="15.75" x14ac:dyDescent="0.25">
      <c r="B339" s="622"/>
      <c r="C339" s="624"/>
      <c r="D339" s="624"/>
      <c r="E339" s="624"/>
      <c r="F339" s="159"/>
      <c r="G339" s="159"/>
      <c r="K339" s="159"/>
      <c r="L339" s="159"/>
      <c r="M339" s="159"/>
    </row>
    <row r="340" spans="2:13" ht="15.75" x14ac:dyDescent="0.25">
      <c r="B340" s="622"/>
      <c r="C340" s="624"/>
      <c r="D340" s="624"/>
      <c r="E340" s="624"/>
      <c r="F340" s="159"/>
      <c r="G340" s="159"/>
      <c r="K340" s="159"/>
      <c r="L340" s="159"/>
      <c r="M340" s="159"/>
    </row>
    <row r="341" spans="2:13" ht="15.75" x14ac:dyDescent="0.25">
      <c r="B341" s="622"/>
      <c r="C341" s="624"/>
      <c r="D341" s="624"/>
      <c r="E341" s="624"/>
      <c r="F341" s="159"/>
      <c r="G341" s="159"/>
      <c r="K341" s="159"/>
      <c r="L341" s="159"/>
      <c r="M341" s="159"/>
    </row>
    <row r="342" spans="2:13" ht="15.75" x14ac:dyDescent="0.25">
      <c r="B342" s="622"/>
      <c r="C342" s="624"/>
      <c r="D342" s="624"/>
      <c r="E342" s="624"/>
      <c r="F342" s="159"/>
      <c r="G342" s="159"/>
      <c r="K342" s="159"/>
      <c r="L342" s="159"/>
      <c r="M342" s="159"/>
    </row>
    <row r="343" spans="2:13" ht="15.75" x14ac:dyDescent="0.25">
      <c r="B343" s="622"/>
      <c r="C343" s="624"/>
      <c r="D343" s="624"/>
      <c r="E343" s="624"/>
      <c r="F343" s="159"/>
      <c r="G343" s="159"/>
      <c r="K343" s="159"/>
      <c r="L343" s="159"/>
      <c r="M343" s="159"/>
    </row>
    <row r="344" spans="2:13" ht="15.75" x14ac:dyDescent="0.25">
      <c r="B344" s="622"/>
      <c r="C344" s="624"/>
      <c r="D344" s="624"/>
      <c r="E344" s="624"/>
      <c r="F344" s="159"/>
      <c r="G344" s="159"/>
      <c r="K344" s="159"/>
      <c r="L344" s="159"/>
      <c r="M344" s="159"/>
    </row>
    <row r="345" spans="2:13" ht="15.75" x14ac:dyDescent="0.25">
      <c r="B345" s="622"/>
      <c r="C345" s="624"/>
      <c r="D345" s="624"/>
      <c r="E345" s="624"/>
      <c r="F345" s="159"/>
      <c r="G345" s="159"/>
      <c r="K345" s="159"/>
      <c r="L345" s="159"/>
      <c r="M345" s="159"/>
    </row>
    <row r="346" spans="2:13" ht="15.75" x14ac:dyDescent="0.25">
      <c r="B346" s="622"/>
      <c r="C346" s="624"/>
      <c r="D346" s="624"/>
      <c r="E346" s="624"/>
      <c r="F346" s="159"/>
      <c r="G346" s="159"/>
      <c r="K346" s="159"/>
      <c r="L346" s="159"/>
      <c r="M346" s="159"/>
    </row>
    <row r="347" spans="2:13" ht="15.75" x14ac:dyDescent="0.25">
      <c r="B347" s="622"/>
      <c r="C347" s="624"/>
      <c r="D347" s="624"/>
      <c r="E347" s="624"/>
      <c r="F347" s="159"/>
      <c r="G347" s="159"/>
      <c r="K347" s="159"/>
      <c r="L347" s="159"/>
      <c r="M347" s="159"/>
    </row>
    <row r="348" spans="2:13" ht="15.75" x14ac:dyDescent="0.25">
      <c r="B348" s="622"/>
      <c r="C348" s="624"/>
      <c r="D348" s="624"/>
      <c r="E348" s="624"/>
      <c r="F348" s="159"/>
      <c r="G348" s="159"/>
      <c r="K348" s="159"/>
      <c r="L348" s="159"/>
      <c r="M348" s="159"/>
    </row>
    <row r="349" spans="2:13" ht="15.75" x14ac:dyDescent="0.25">
      <c r="B349" s="622"/>
      <c r="C349" s="624"/>
      <c r="D349" s="624"/>
      <c r="E349" s="624"/>
      <c r="F349" s="159"/>
      <c r="G349" s="159"/>
      <c r="K349" s="159"/>
      <c r="L349" s="159"/>
      <c r="M349" s="159"/>
    </row>
    <row r="350" spans="2:13" ht="15.75" x14ac:dyDescent="0.25">
      <c r="B350" s="622"/>
      <c r="C350" s="624"/>
      <c r="D350" s="624"/>
      <c r="E350" s="624"/>
      <c r="F350" s="159"/>
      <c r="G350" s="159"/>
      <c r="K350" s="159"/>
      <c r="L350" s="159"/>
      <c r="M350" s="159"/>
    </row>
    <row r="351" spans="2:13" ht="15.75" x14ac:dyDescent="0.25">
      <c r="B351" s="622"/>
      <c r="C351" s="624"/>
      <c r="D351" s="624"/>
      <c r="E351" s="624"/>
      <c r="F351" s="159"/>
      <c r="G351" s="159"/>
      <c r="K351" s="159"/>
      <c r="L351" s="159"/>
      <c r="M351" s="159"/>
    </row>
    <row r="352" spans="2:13" ht="15.75" x14ac:dyDescent="0.25">
      <c r="B352" s="622"/>
      <c r="C352" s="624"/>
      <c r="D352" s="624"/>
      <c r="E352" s="624"/>
      <c r="F352" s="159"/>
      <c r="G352" s="159"/>
      <c r="K352" s="159"/>
      <c r="L352" s="159"/>
      <c r="M352" s="159"/>
    </row>
    <row r="353" spans="2:13" ht="15.75" x14ac:dyDescent="0.25">
      <c r="B353" s="622"/>
      <c r="C353" s="624"/>
      <c r="D353" s="624"/>
      <c r="E353" s="624"/>
      <c r="F353" s="159"/>
      <c r="G353" s="159"/>
      <c r="K353" s="159"/>
      <c r="L353" s="159"/>
      <c r="M353" s="159"/>
    </row>
    <row r="354" spans="2:13" ht="15.75" x14ac:dyDescent="0.25">
      <c r="B354" s="622"/>
      <c r="C354" s="624"/>
      <c r="D354" s="624"/>
      <c r="E354" s="624"/>
      <c r="F354" s="159"/>
      <c r="G354" s="159"/>
      <c r="K354" s="159"/>
      <c r="L354" s="159"/>
      <c r="M354" s="159"/>
    </row>
    <row r="355" spans="2:13" ht="15.75" x14ac:dyDescent="0.25">
      <c r="B355" s="622"/>
      <c r="C355" s="624"/>
      <c r="D355" s="624"/>
      <c r="E355" s="624"/>
      <c r="F355" s="159"/>
      <c r="G355" s="159"/>
      <c r="K355" s="159"/>
      <c r="L355" s="159"/>
      <c r="M355" s="159"/>
    </row>
    <row r="356" spans="2:13" ht="15.75" x14ac:dyDescent="0.25">
      <c r="B356" s="622"/>
      <c r="C356" s="624"/>
      <c r="D356" s="624"/>
      <c r="E356" s="624"/>
      <c r="F356" s="159"/>
      <c r="G356" s="159"/>
      <c r="K356" s="159"/>
      <c r="L356" s="159"/>
      <c r="M356" s="159"/>
    </row>
    <row r="357" spans="2:13" ht="15.75" x14ac:dyDescent="0.25">
      <c r="B357" s="622"/>
      <c r="C357" s="624"/>
      <c r="D357" s="624"/>
      <c r="E357" s="624"/>
      <c r="F357" s="159"/>
      <c r="G357" s="159"/>
      <c r="K357" s="159"/>
      <c r="L357" s="159"/>
      <c r="M357" s="159"/>
    </row>
    <row r="358" spans="2:13" ht="15.75" x14ac:dyDescent="0.25">
      <c r="B358" s="622"/>
      <c r="C358" s="624"/>
      <c r="D358" s="624"/>
      <c r="E358" s="624"/>
      <c r="F358" s="159"/>
      <c r="G358" s="159"/>
      <c r="K358" s="159"/>
      <c r="L358" s="159"/>
      <c r="M358" s="159"/>
    </row>
    <row r="359" spans="2:13" ht="15.75" x14ac:dyDescent="0.25">
      <c r="B359" s="622"/>
      <c r="C359" s="624"/>
      <c r="D359" s="624"/>
      <c r="E359" s="624"/>
      <c r="F359" s="159"/>
      <c r="G359" s="159"/>
      <c r="K359" s="159"/>
      <c r="L359" s="159"/>
      <c r="M359" s="159"/>
    </row>
    <row r="360" spans="2:13" ht="15.75" x14ac:dyDescent="0.25">
      <c r="B360" s="622"/>
      <c r="C360" s="624"/>
      <c r="D360" s="624"/>
      <c r="E360" s="624"/>
      <c r="F360" s="159"/>
      <c r="G360" s="159"/>
      <c r="K360" s="159"/>
      <c r="L360" s="159"/>
      <c r="M360" s="159"/>
    </row>
    <row r="361" spans="2:13" ht="15.75" x14ac:dyDescent="0.25">
      <c r="B361" s="622"/>
      <c r="C361" s="624"/>
      <c r="D361" s="624"/>
      <c r="E361" s="624"/>
      <c r="F361" s="159"/>
      <c r="G361" s="159"/>
      <c r="K361" s="159"/>
      <c r="L361" s="159"/>
      <c r="M361" s="159"/>
    </row>
    <row r="362" spans="2:13" ht="15.75" x14ac:dyDescent="0.25">
      <c r="B362" s="622"/>
      <c r="C362" s="624"/>
      <c r="D362" s="624"/>
      <c r="E362" s="624"/>
      <c r="F362" s="159"/>
      <c r="G362" s="159"/>
      <c r="K362" s="159"/>
      <c r="L362" s="159"/>
      <c r="M362" s="159"/>
    </row>
    <row r="363" spans="2:13" ht="15.75" x14ac:dyDescent="0.25">
      <c r="B363" s="622"/>
      <c r="C363" s="624"/>
      <c r="D363" s="624"/>
      <c r="E363" s="624"/>
      <c r="F363" s="159"/>
      <c r="G363" s="159"/>
      <c r="K363" s="159"/>
      <c r="L363" s="159"/>
      <c r="M363" s="159"/>
    </row>
    <row r="364" spans="2:13" ht="15.75" x14ac:dyDescent="0.25">
      <c r="B364" s="622"/>
      <c r="C364" s="624"/>
      <c r="D364" s="624"/>
      <c r="E364" s="624"/>
      <c r="F364" s="159"/>
      <c r="G364" s="159"/>
      <c r="K364" s="159"/>
      <c r="L364" s="159"/>
      <c r="M364" s="159"/>
    </row>
    <row r="365" spans="2:13" ht="15.75" x14ac:dyDescent="0.25">
      <c r="B365" s="622"/>
      <c r="C365" s="624"/>
      <c r="D365" s="624"/>
      <c r="E365" s="624"/>
      <c r="F365" s="159"/>
      <c r="G365" s="159"/>
      <c r="K365" s="159"/>
      <c r="L365" s="159"/>
      <c r="M365" s="159"/>
    </row>
    <row r="366" spans="2:13" ht="15.75" x14ac:dyDescent="0.25">
      <c r="B366" s="622"/>
      <c r="C366" s="624"/>
      <c r="D366" s="624"/>
      <c r="E366" s="624"/>
      <c r="F366" s="159"/>
      <c r="G366" s="159"/>
      <c r="K366" s="159"/>
      <c r="L366" s="159"/>
      <c r="M366" s="159"/>
    </row>
    <row r="367" spans="2:13" ht="15.75" x14ac:dyDescent="0.25">
      <c r="B367" s="622"/>
      <c r="C367" s="624"/>
      <c r="D367" s="624"/>
      <c r="E367" s="624"/>
      <c r="F367" s="159"/>
      <c r="G367" s="159"/>
      <c r="K367" s="159"/>
      <c r="L367" s="159"/>
      <c r="M367" s="159"/>
    </row>
    <row r="368" spans="2:13" ht="15.75" x14ac:dyDescent="0.25">
      <c r="B368" s="622"/>
      <c r="C368" s="624"/>
      <c r="D368" s="624"/>
      <c r="E368" s="624"/>
      <c r="F368" s="159"/>
      <c r="G368" s="159"/>
      <c r="K368" s="159"/>
      <c r="L368" s="159"/>
      <c r="M368" s="159"/>
    </row>
    <row r="369" spans="2:17" ht="15.75" x14ac:dyDescent="0.25">
      <c r="B369" s="622"/>
      <c r="C369" s="624"/>
      <c r="D369" s="624"/>
      <c r="E369" s="624"/>
      <c r="F369" s="159"/>
      <c r="G369" s="159"/>
      <c r="K369" s="159"/>
      <c r="L369" s="159"/>
      <c r="M369" s="159"/>
    </row>
    <row r="370" spans="2:17" ht="15.75" x14ac:dyDescent="0.25">
      <c r="B370" s="622"/>
      <c r="C370" s="624"/>
      <c r="D370" s="624"/>
      <c r="E370" s="624"/>
      <c r="F370" s="159"/>
      <c r="G370" s="159"/>
      <c r="K370" s="159"/>
      <c r="L370" s="159"/>
      <c r="M370" s="159"/>
    </row>
    <row r="371" spans="2:17" ht="15.75" x14ac:dyDescent="0.25">
      <c r="B371" s="622"/>
      <c r="C371" s="624"/>
      <c r="D371" s="624"/>
      <c r="E371" s="624"/>
      <c r="F371" s="159"/>
      <c r="G371" s="159"/>
      <c r="K371" s="159"/>
      <c r="L371" s="159"/>
      <c r="M371" s="159"/>
    </row>
    <row r="372" spans="2:17" ht="15.75" x14ac:dyDescent="0.25">
      <c r="B372" s="622"/>
      <c r="C372" s="624"/>
      <c r="D372" s="624"/>
      <c r="E372" s="624"/>
      <c r="F372" s="159"/>
      <c r="G372" s="159"/>
      <c r="K372" s="159"/>
      <c r="L372" s="159"/>
      <c r="M372" s="159"/>
    </row>
    <row r="373" spans="2:17" ht="15.75" x14ac:dyDescent="0.25">
      <c r="B373" s="622"/>
      <c r="C373" s="624"/>
      <c r="D373" s="624"/>
      <c r="E373" s="624"/>
      <c r="F373" s="159"/>
      <c r="G373" s="159"/>
      <c r="K373" s="159"/>
      <c r="L373" s="159"/>
      <c r="M373" s="159"/>
    </row>
    <row r="374" spans="2:17" ht="15.75" x14ac:dyDescent="0.25">
      <c r="B374" s="622"/>
      <c r="C374" s="624"/>
      <c r="D374" s="624"/>
      <c r="E374" s="624"/>
      <c r="F374" s="159"/>
      <c r="G374" s="159"/>
      <c r="K374" s="159"/>
      <c r="L374" s="159"/>
      <c r="M374" s="159"/>
    </row>
    <row r="375" spans="2:17" ht="15.75" x14ac:dyDescent="0.25">
      <c r="B375" s="622"/>
      <c r="C375" s="624"/>
      <c r="D375" s="624"/>
      <c r="E375" s="624"/>
      <c r="F375" s="159"/>
      <c r="G375" s="159"/>
      <c r="K375" s="159"/>
      <c r="L375" s="159"/>
      <c r="M375" s="159"/>
    </row>
    <row r="376" spans="2:17" ht="15.75" x14ac:dyDescent="0.25">
      <c r="B376" s="622"/>
      <c r="C376" s="624"/>
      <c r="D376" s="624"/>
      <c r="E376" s="624"/>
      <c r="F376" s="159"/>
      <c r="G376" s="159"/>
      <c r="K376" s="159"/>
      <c r="L376" s="159"/>
      <c r="M376" s="159"/>
    </row>
    <row r="377" spans="2:17" ht="15.75" x14ac:dyDescent="0.25">
      <c r="B377" s="622"/>
      <c r="C377" s="624"/>
      <c r="D377" s="624"/>
      <c r="E377" s="624"/>
      <c r="F377" s="159"/>
      <c r="G377" s="159"/>
      <c r="K377" s="159"/>
      <c r="L377" s="159"/>
      <c r="M377" s="159"/>
    </row>
    <row r="378" spans="2:17" ht="15.75" x14ac:dyDescent="0.25">
      <c r="B378" s="622"/>
      <c r="C378" s="624"/>
      <c r="D378" s="624"/>
      <c r="E378" s="624"/>
      <c r="F378" s="159"/>
      <c r="G378" s="159"/>
      <c r="K378" s="159"/>
      <c r="L378" s="159"/>
      <c r="M378" s="159"/>
    </row>
    <row r="379" spans="2:17" ht="13.5" thickBot="1" x14ac:dyDescent="0.25"/>
    <row r="380" spans="2:17" ht="15.75" x14ac:dyDescent="0.25">
      <c r="B380" s="195" t="s">
        <v>354</v>
      </c>
      <c r="C380" s="196"/>
      <c r="D380" s="216"/>
      <c r="E380" s="196"/>
      <c r="F380" s="196"/>
      <c r="G380" s="216"/>
      <c r="H380" s="216"/>
      <c r="I380" s="216"/>
      <c r="J380" s="216"/>
      <c r="K380" s="216"/>
      <c r="L380" s="216"/>
      <c r="M380" s="204">
        <f>IF(P6Q10&lt;&gt;" ",1,0)</f>
        <v>1</v>
      </c>
      <c r="N380" s="196"/>
      <c r="O380" s="205">
        <f>+K388*L388</f>
        <v>947.57885795771585</v>
      </c>
      <c r="Q380" s="194">
        <f>IF(ISERROR(O380),0,+O380*M380)</f>
        <v>947.57885795771585</v>
      </c>
    </row>
    <row r="381" spans="2:17" x14ac:dyDescent="0.2">
      <c r="B381" s="217" t="s">
        <v>567</v>
      </c>
      <c r="C381" s="209" t="s">
        <v>568</v>
      </c>
      <c r="D381" s="209" t="s">
        <v>567</v>
      </c>
      <c r="E381" s="209" t="s">
        <v>568</v>
      </c>
      <c r="F381" s="209" t="s">
        <v>568</v>
      </c>
      <c r="G381" s="209"/>
      <c r="H381" s="211" t="s">
        <v>666</v>
      </c>
      <c r="I381" s="215" t="s">
        <v>666</v>
      </c>
      <c r="J381" s="215" t="s">
        <v>666</v>
      </c>
      <c r="K381" s="215" t="s">
        <v>666</v>
      </c>
      <c r="O381" s="198"/>
    </row>
    <row r="382" spans="2:17" x14ac:dyDescent="0.2">
      <c r="B382" s="218" t="s">
        <v>310</v>
      </c>
      <c r="C382" s="210" t="s">
        <v>310</v>
      </c>
      <c r="D382" s="210" t="s">
        <v>556</v>
      </c>
      <c r="E382" s="210" t="s">
        <v>744</v>
      </c>
      <c r="F382" s="210" t="s">
        <v>746</v>
      </c>
      <c r="G382" s="210" t="s">
        <v>743</v>
      </c>
      <c r="H382" s="210" t="s">
        <v>745</v>
      </c>
      <c r="I382" s="210" t="s">
        <v>753</v>
      </c>
      <c r="J382" s="210" t="s">
        <v>752</v>
      </c>
      <c r="K382" s="210" t="s">
        <v>750</v>
      </c>
      <c r="O382" s="198"/>
    </row>
    <row r="383" spans="2:17" x14ac:dyDescent="0.2">
      <c r="B383" s="201">
        <f>+quote65</f>
        <v>785</v>
      </c>
      <c r="C383" s="191">
        <f>+quote66</f>
        <v>6765.6</v>
      </c>
      <c r="D383" s="168">
        <f>+B383/25.4</f>
        <v>30.905511811023622</v>
      </c>
      <c r="E383" s="168">
        <f>+C383/25.4/12</f>
        <v>22.196850393700789</v>
      </c>
      <c r="F383" s="168">
        <f>+E383+9.5</f>
        <v>31.696850393700789</v>
      </c>
      <c r="G383" s="168">
        <f>+F383*D383</f>
        <v>979.60738421476844</v>
      </c>
      <c r="H383" s="214">
        <f>+quote21</f>
        <v>0.66</v>
      </c>
      <c r="I383" s="214">
        <f>+H383*G383</f>
        <v>646.54087358174718</v>
      </c>
      <c r="J383" s="214">
        <v>11.5</v>
      </c>
      <c r="K383" s="214">
        <f>+J383+I383</f>
        <v>658.04087358174718</v>
      </c>
      <c r="O383" s="198"/>
    </row>
    <row r="384" spans="2:17" x14ac:dyDescent="0.2">
      <c r="B384" s="202"/>
      <c r="D384" s="162"/>
      <c r="G384" s="162"/>
      <c r="H384" s="162"/>
      <c r="I384" s="162"/>
      <c r="J384" s="162"/>
      <c r="K384" s="162"/>
      <c r="L384" s="162"/>
      <c r="M384" s="219"/>
      <c r="O384" s="198"/>
    </row>
    <row r="385" spans="2:15" x14ac:dyDescent="0.2">
      <c r="B385" s="202"/>
      <c r="D385" s="162"/>
      <c r="G385" s="162"/>
      <c r="H385" s="162"/>
      <c r="I385" s="162"/>
      <c r="J385" s="162"/>
      <c r="K385" s="162"/>
      <c r="L385" s="162"/>
      <c r="O385" s="198"/>
    </row>
    <row r="386" spans="2:15" x14ac:dyDescent="0.2">
      <c r="B386" s="202"/>
      <c r="D386" s="162"/>
      <c r="G386" s="162"/>
      <c r="H386" s="162"/>
      <c r="I386" s="162"/>
      <c r="J386" s="215" t="s">
        <v>666</v>
      </c>
      <c r="K386" s="215" t="s">
        <v>666</v>
      </c>
      <c r="O386" s="198"/>
    </row>
    <row r="387" spans="2:15" x14ac:dyDescent="0.2">
      <c r="B387" s="202"/>
      <c r="D387" s="162"/>
      <c r="G387" s="162"/>
      <c r="H387" s="162"/>
      <c r="I387" s="162"/>
      <c r="J387" s="210" t="s">
        <v>748</v>
      </c>
      <c r="K387" s="210" t="s">
        <v>749</v>
      </c>
      <c r="L387" s="192" t="s">
        <v>751</v>
      </c>
      <c r="O387" s="198"/>
    </row>
    <row r="388" spans="2:15" ht="13.5" thickBot="1" x14ac:dyDescent="0.25">
      <c r="B388" s="220"/>
      <c r="C388" s="203"/>
      <c r="D388" s="206"/>
      <c r="E388" s="203"/>
      <c r="F388" s="203"/>
      <c r="G388" s="206"/>
      <c r="H388" s="206"/>
      <c r="I388" s="206"/>
      <c r="J388" s="221">
        <v>0.4</v>
      </c>
      <c r="K388" s="222">
        <f>+K383*(1-J388)</f>
        <v>394.82452414904827</v>
      </c>
      <c r="L388" s="243">
        <v>2.4</v>
      </c>
      <c r="M388" s="203"/>
      <c r="N388" s="203"/>
      <c r="O388" s="207"/>
    </row>
    <row r="389" spans="2:15" x14ac:dyDescent="0.2">
      <c r="D389" s="162"/>
      <c r="G389" s="162"/>
      <c r="H389" s="162"/>
      <c r="I389" s="162"/>
      <c r="J389" s="162"/>
      <c r="K389" s="162"/>
      <c r="L389" s="162"/>
    </row>
    <row r="390" spans="2:15" x14ac:dyDescent="0.2">
      <c r="D390" s="162"/>
    </row>
    <row r="391" spans="2:15" x14ac:dyDescent="0.2">
      <c r="D391" s="162"/>
    </row>
    <row r="392" spans="2:15" x14ac:dyDescent="0.2">
      <c r="D392" s="162"/>
    </row>
  </sheetData>
  <mergeCells count="14">
    <mergeCell ref="B9:G9"/>
    <mergeCell ref="B134:J134"/>
    <mergeCell ref="B96:F96"/>
    <mergeCell ref="E103:F103"/>
    <mergeCell ref="B52:G52"/>
    <mergeCell ref="B193:E193"/>
    <mergeCell ref="B102:F102"/>
    <mergeCell ref="B97:B98"/>
    <mergeCell ref="B237:G237"/>
    <mergeCell ref="B190:E190"/>
    <mergeCell ref="E183:F183"/>
    <mergeCell ref="E186:F186"/>
    <mergeCell ref="C97:M97"/>
    <mergeCell ref="B103:C103"/>
  </mergeCells>
  <phoneticPr fontId="7" type="noConversion"/>
  <conditionalFormatting sqref="C99:M100">
    <cfRule type="cellIs" dxfId="2" priority="1" stopIfTrue="1" operator="lessThan">
      <formula>0</formula>
    </cfRule>
  </conditionalFormatting>
  <pageMargins left="0.5" right="0.5" top="0.5" bottom="0.5" header="0" footer="0"/>
  <pageSetup scale="13"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4">
    <tabColor rgb="FF00FF00"/>
  </sheetPr>
  <dimension ref="A1:C32"/>
  <sheetViews>
    <sheetView showRowColHeaders="0" workbookViewId="0">
      <selection activeCell="L52" sqref="L52"/>
    </sheetView>
  </sheetViews>
  <sheetFormatPr defaultRowHeight="12.75" x14ac:dyDescent="0.2"/>
  <cols>
    <col min="1" max="1" width="20.140625" bestFit="1" customWidth="1"/>
    <col min="2" max="2" width="4.5703125" customWidth="1"/>
    <col min="3" max="3" width="45.7109375" bestFit="1" customWidth="1"/>
  </cols>
  <sheetData>
    <row r="1" spans="1:3" x14ac:dyDescent="0.2">
      <c r="A1" t="s">
        <v>1601</v>
      </c>
      <c r="C1" s="491">
        <f>+quote89</f>
        <v>1</v>
      </c>
    </row>
    <row r="2" spans="1:3" x14ac:dyDescent="0.2">
      <c r="A2" t="s">
        <v>543</v>
      </c>
      <c r="C2" t="str">
        <f>IF(P1Q1="Head",+"GUF-P 2000/"&amp;P0Q2&amp;"/"&amp;p0q1&amp;"-"&amp;P2Q1&amp;"-"&amp;"01",+"GUF-P 2000/"&amp;P0Q2&amp;"/"&amp;p0q1&amp;"-BC-01-01")</f>
        <v>GUF-P 2000/800/3352.8-AC-01</v>
      </c>
    </row>
    <row r="4" spans="1:3" x14ac:dyDescent="0.2">
      <c r="A4" t="s">
        <v>1891</v>
      </c>
      <c r="C4" s="592" t="s">
        <v>541</v>
      </c>
    </row>
    <row r="5" spans="1:3" x14ac:dyDescent="0.2">
      <c r="A5" t="s">
        <v>1892</v>
      </c>
      <c r="C5" s="491" t="str">
        <f>IF(P1Q1="Head","n/a","01")</f>
        <v>n/a</v>
      </c>
    </row>
    <row r="6" spans="1:3" x14ac:dyDescent="0.2">
      <c r="A6" t="s">
        <v>612</v>
      </c>
      <c r="C6" s="491" t="str">
        <f>IF(P1Q1="Head",+"Head Drive, Version "&amp;P2Q1,+"Center Drive, Version BC")&amp;IF(P2Q1="AU",", mounted "&amp;LOWER(P2Q2),)&amp;", "&amp;+P1Q2&amp;"-hand side"</f>
        <v>Head Drive, Version AC, Right-hand side</v>
      </c>
    </row>
    <row r="8" spans="1:3" x14ac:dyDescent="0.2">
      <c r="A8" t="s">
        <v>1893</v>
      </c>
      <c r="C8" s="491" t="str">
        <f>+p0q1&amp;" mm "&amp;+" ("&amp;quote1&amp;" in)"</f>
        <v>3352.8 mm  (132 in)</v>
      </c>
    </row>
    <row r="9" spans="1:3" x14ac:dyDescent="0.2">
      <c r="A9" t="s">
        <v>367</v>
      </c>
      <c r="C9" s="491" t="str">
        <f>+P0Q2&amp;" mm "&amp;+" ("&amp;quote2&amp;" in)"</f>
        <v>800 mm  (31.5 in)</v>
      </c>
    </row>
    <row r="11" spans="1:3" x14ac:dyDescent="0.2">
      <c r="A11" t="s">
        <v>626</v>
      </c>
      <c r="C11" s="491" t="str">
        <f>+P0Q2-10&amp;" mm ("&amp;+ROUND((P0Q2-10)/25.4,2)&amp;" in)"</f>
        <v>790 mm (31.1 in)</v>
      </c>
    </row>
    <row r="12" spans="1:3" x14ac:dyDescent="0.2">
      <c r="A12" t="s">
        <v>372</v>
      </c>
      <c r="C12" t="str">
        <f>IF(P6Q10=0,"n.a.",+"Belt # "&amp;P6Q10)&amp;". "&amp;+quote67</f>
        <v>Belt # 460445. This is a "Yushin Blue", Urethane belt.</v>
      </c>
    </row>
    <row r="14" spans="1:3" x14ac:dyDescent="0.2">
      <c r="A14" t="s">
        <v>363</v>
      </c>
      <c r="C14" s="491" t="str">
        <f>IF(P0Q5="N/A","n.a.",+ROUND(P0Q4,2)&amp;" mpm ("&amp;ROUND(quote5,1)&amp;" fpm) @ 60 Hz")</f>
        <v>18.29 mpm (60 fpm) @ 60 Hz</v>
      </c>
    </row>
    <row r="15" spans="1:3" x14ac:dyDescent="0.2">
      <c r="A15" t="s">
        <v>1894</v>
      </c>
      <c r="C15" s="491" t="str">
        <f>IF(P0Q5="N/A"," ",+"Speed is "&amp;P0Q5)</f>
        <v>Speed is Variable</v>
      </c>
    </row>
    <row r="16" spans="1:3" x14ac:dyDescent="0.2">
      <c r="A16" t="s">
        <v>365</v>
      </c>
      <c r="C16" s="491" t="str">
        <f>+ROUND(p0q3,1)&amp;" kg ( "&amp;ROUND(quote6,1)&amp;" lbs.)"</f>
        <v>27.3 kg ( 60 lbs.)</v>
      </c>
    </row>
    <row r="17" spans="1:3" x14ac:dyDescent="0.2">
      <c r="A17" t="s">
        <v>385</v>
      </c>
      <c r="C17" s="491" t="str">
        <f>IF(P6Q8="Yes","Yes.  Product accumulation is allowed","No.  Product accumulation is NOT allowed")</f>
        <v>No.  Product accumulation is NOT allowed</v>
      </c>
    </row>
    <row r="19" spans="1:3" x14ac:dyDescent="0.2">
      <c r="A19" t="s">
        <v>632</v>
      </c>
      <c r="C19" s="491" t="s">
        <v>2181</v>
      </c>
    </row>
    <row r="20" spans="1:3" x14ac:dyDescent="0.2">
      <c r="C20" s="491" t="str">
        <f>IF(P0Q5="N/A"," ","Motor "&amp;quote103&amp;" Hp")</f>
        <v>Motor 0.25 Hp</v>
      </c>
    </row>
    <row r="22" spans="1:3" x14ac:dyDescent="0.2">
      <c r="A22" t="s">
        <v>633</v>
      </c>
      <c r="C22" s="491" t="str">
        <f>IF(P0Q6="N/A","None requested.",IF(P0Q6="Customer","Customer-Supplied","mk-supplied, 115VAC input, "&amp;+quote81&amp;" output"))</f>
        <v>mk-supplied, 115VAC input, 130 VDC output</v>
      </c>
    </row>
    <row r="24" spans="1:3" x14ac:dyDescent="0.2">
      <c r="A24" t="s">
        <v>634</v>
      </c>
      <c r="C24" s="491" t="str">
        <f>IF(p0q8&lt;&gt;"No","Rail System "&amp;quote8,"None")</f>
        <v>Rail System HSF03</v>
      </c>
    </row>
    <row r="25" spans="1:3" x14ac:dyDescent="0.2">
      <c r="C25" s="491" t="str">
        <f>IF(p0q8&lt;&gt;"No",+quote61&amp;" mm OAL"," ")</f>
        <v>3352.8 mm OAL</v>
      </c>
    </row>
    <row r="26" spans="1:3" x14ac:dyDescent="0.2">
      <c r="C26" s="491" t="str">
        <f>IF(p0q8="No"," ",IF(p0q8="Fixed","H= "&amp;quote7&amp;" mm",IF(P8Q1="No","Aluminum Side Rails","UHMW backed Aluminum Side Rails")))</f>
        <v>UHMW backed Aluminum Side Rails</v>
      </c>
    </row>
    <row r="27" spans="1:3" x14ac:dyDescent="0.2">
      <c r="C27" s="491" t="str">
        <f>IF(p0q8="Fixed",+quote35,IF(p0q8="Adjustable",+quote10," "))</f>
        <v>Lane width adjustable from 660 mm to 860 mm</v>
      </c>
    </row>
    <row r="29" spans="1:3" x14ac:dyDescent="0.2">
      <c r="A29" t="s">
        <v>645</v>
      </c>
      <c r="C29" s="492" t="str">
        <f>IF(p0q9&lt;&gt;"Yes","None","Quantity: "&amp;quote12&amp;"")</f>
        <v>Quantity: 3</v>
      </c>
    </row>
    <row r="30" spans="1:3" x14ac:dyDescent="0.2">
      <c r="C30" s="492" t="str">
        <f>IF(p0q9&lt;&gt;"Yes"," ","System: "&amp;55.1&amp;", height H = "&amp;+P10Q2&amp;" mm")</f>
        <v>System: 55.1, height H = 1168.4 mm</v>
      </c>
    </row>
    <row r="31" spans="1:3" x14ac:dyDescent="0.2">
      <c r="C31" s="492" t="str">
        <f>IF(AND(p0q9="Yes",P10q9="Yes"),"Includes Leveling Pads and Floor Mounting Brackets",IF(AND(p0q9="Yes",P10q10="Yes"),"With Swivel-Lock Casters",IF(p0q9="Yes","With Leveling Pads"," ")))</f>
        <v>With Swivel-Lock Casters</v>
      </c>
    </row>
    <row r="32" spans="1:3" x14ac:dyDescent="0.2">
      <c r="C32" s="493" t="str">
        <f>IF(AND(p0q9="Yes",P10Q3&gt;1),"Includes Stringer to tie Stands together"," ")</f>
        <v>Includes Stringer to tie Stands together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3">
    <tabColor rgb="FF00B050"/>
    <pageSetUpPr fitToPage="1"/>
  </sheetPr>
  <dimension ref="A3:L49"/>
  <sheetViews>
    <sheetView zoomScale="115" zoomScaleNormal="115" workbookViewId="0">
      <selection activeCell="O48" sqref="O48"/>
    </sheetView>
  </sheetViews>
  <sheetFormatPr defaultColWidth="8.85546875" defaultRowHeight="12.75" x14ac:dyDescent="0.2"/>
  <cols>
    <col min="1" max="1" width="4.28515625" style="146" customWidth="1"/>
    <col min="2" max="2" width="12.7109375" style="146" bestFit="1" customWidth="1"/>
    <col min="3" max="3" width="15.7109375" style="146" bestFit="1" customWidth="1"/>
    <col min="4" max="4" width="6.42578125" style="146" bestFit="1" customWidth="1"/>
    <col min="5" max="5" width="13.28515625" style="146" bestFit="1" customWidth="1"/>
    <col min="6" max="6" width="8.42578125" style="146" bestFit="1" customWidth="1"/>
    <col min="7" max="7" width="5.140625" style="146" bestFit="1" customWidth="1"/>
    <col min="8" max="8" width="7.5703125" style="146" customWidth="1"/>
    <col min="9" max="9" width="6" style="146" bestFit="1" customWidth="1"/>
    <col min="10" max="10" width="7.28515625" style="146" bestFit="1" customWidth="1"/>
    <col min="11" max="11" width="15.28515625" style="146" customWidth="1"/>
    <col min="12" max="12" width="10.28515625" style="146" customWidth="1"/>
    <col min="13" max="16384" width="8.85546875" style="146"/>
  </cols>
  <sheetData>
    <row r="3" spans="1:12" ht="30" customHeight="1" x14ac:dyDescent="0.4">
      <c r="B3" s="981" t="s">
        <v>1908</v>
      </c>
      <c r="C3" s="981"/>
      <c r="D3" s="981"/>
      <c r="E3" s="981"/>
      <c r="F3" s="148"/>
      <c r="G3" s="148"/>
      <c r="H3" s="148"/>
      <c r="I3" s="149"/>
      <c r="J3" s="150"/>
      <c r="K3" s="149"/>
      <c r="L3" s="149"/>
    </row>
    <row r="5" spans="1:12" s="151" customFormat="1" ht="7.5" customHeight="1" x14ac:dyDescent="0.2"/>
    <row r="6" spans="1:12" s="152" customFormat="1" ht="7.5" customHeight="1" x14ac:dyDescent="0.2"/>
    <row r="7" spans="1:12" x14ac:dyDescent="0.2">
      <c r="A7" s="156"/>
    </row>
    <row r="8" spans="1:12" ht="15" x14ac:dyDescent="0.2">
      <c r="A8" s="156"/>
      <c r="B8" s="982" t="str">
        <f>IF(P1Q1="Head",+"GUF-P 2000/"&amp;P0Q2&amp;"/"&amp;p0q1&amp;"-"&amp;P2Q1&amp;"-01",+"GUF-P 2000/"&amp;P0Q2&amp;"/"&amp;p0q1&amp;"-"&amp;P3Q1&amp;"-01-01")</f>
        <v>GUF-P 2000/800/3352.8-AC-01</v>
      </c>
      <c r="C8" s="983"/>
      <c r="D8" s="984"/>
      <c r="E8" s="468"/>
      <c r="F8" s="468"/>
      <c r="G8" s="468"/>
      <c r="H8" s="468"/>
      <c r="I8" s="468"/>
      <c r="J8" s="162"/>
      <c r="K8" s="163"/>
      <c r="L8" s="163"/>
    </row>
    <row r="9" spans="1:12" x14ac:dyDescent="0.2">
      <c r="A9" s="156"/>
      <c r="B9" s="162"/>
      <c r="C9" s="162"/>
      <c r="D9" s="162"/>
      <c r="E9" s="162"/>
      <c r="F9" s="162"/>
      <c r="G9" s="162"/>
      <c r="J9" s="162"/>
      <c r="K9" s="162"/>
      <c r="L9" s="162"/>
    </row>
    <row r="10" spans="1:12" x14ac:dyDescent="0.2">
      <c r="A10" s="156"/>
      <c r="B10" s="496" t="s">
        <v>568</v>
      </c>
      <c r="C10" s="503">
        <f>+p0q1</f>
        <v>3352.8</v>
      </c>
      <c r="D10" s="168" t="s">
        <v>310</v>
      </c>
      <c r="H10" s="986" t="s">
        <v>1901</v>
      </c>
      <c r="I10" s="987"/>
      <c r="J10" s="987"/>
      <c r="K10" s="987"/>
    </row>
    <row r="11" spans="1:12" x14ac:dyDescent="0.2">
      <c r="A11" s="156"/>
      <c r="C11" s="504">
        <f>+C10/25.4</f>
        <v>132.00000000000003</v>
      </c>
      <c r="D11" s="168" t="s">
        <v>1899</v>
      </c>
      <c r="H11" s="488">
        <f>+P0Q4</f>
        <v>18.288222384784198</v>
      </c>
      <c r="I11" s="325" t="s">
        <v>505</v>
      </c>
      <c r="J11" s="488">
        <f>+H11*3.2808</f>
        <v>60</v>
      </c>
      <c r="K11" s="168" t="s">
        <v>364</v>
      </c>
    </row>
    <row r="12" spans="1:12" x14ac:dyDescent="0.2">
      <c r="A12" s="156"/>
      <c r="B12" s="496" t="s">
        <v>567</v>
      </c>
      <c r="C12" s="503">
        <f>+P0Q2</f>
        <v>800</v>
      </c>
      <c r="H12" s="488">
        <f>+p0q3</f>
        <v>27.27272727272727</v>
      </c>
      <c r="I12" s="168" t="s">
        <v>1900</v>
      </c>
      <c r="J12" s="501">
        <f>+H12*2.2</f>
        <v>60</v>
      </c>
      <c r="K12" s="168" t="s">
        <v>366</v>
      </c>
    </row>
    <row r="13" spans="1:12" x14ac:dyDescent="0.2">
      <c r="A13" s="156"/>
      <c r="H13" s="258" t="str">
        <f>+P6Q8</f>
        <v>No</v>
      </c>
      <c r="I13" s="988" t="s">
        <v>1902</v>
      </c>
      <c r="J13" s="988"/>
      <c r="K13" s="988"/>
    </row>
    <row r="14" spans="1:12" x14ac:dyDescent="0.2">
      <c r="A14" s="156"/>
      <c r="B14" s="496" t="s">
        <v>755</v>
      </c>
      <c r="C14" s="497" t="str">
        <f>IF(quote22=0," ",+quote24)</f>
        <v>Steel</v>
      </c>
    </row>
    <row r="15" spans="1:12" x14ac:dyDescent="0.2">
      <c r="A15" s="156"/>
      <c r="H15" s="986" t="s">
        <v>866</v>
      </c>
      <c r="I15" s="986"/>
      <c r="J15" s="986"/>
      <c r="K15" s="986"/>
    </row>
    <row r="16" spans="1:12" x14ac:dyDescent="0.2">
      <c r="A16" s="156"/>
      <c r="B16" s="498" t="s">
        <v>712</v>
      </c>
      <c r="C16" s="229" t="str">
        <f>+BOM!AD27</f>
        <v>1B.AC8</v>
      </c>
      <c r="H16" s="505">
        <f>+P12q2</f>
        <v>0.1095398778144054</v>
      </c>
      <c r="I16" s="257" t="str">
        <f>+"1/"&amp;+ROUND((1/H16),0)</f>
        <v>1/9</v>
      </c>
      <c r="J16" s="988" t="s">
        <v>1903</v>
      </c>
      <c r="K16" s="990"/>
    </row>
    <row r="17" spans="1:12" x14ac:dyDescent="0.2">
      <c r="A17" s="156"/>
      <c r="B17" s="502" t="s">
        <v>1038</v>
      </c>
      <c r="C17" s="229" t="str">
        <f>+P1Q2</f>
        <v>Right</v>
      </c>
      <c r="H17" s="506">
        <f>+P12q1</f>
        <v>111.94849972700983</v>
      </c>
      <c r="J17" s="988" t="s">
        <v>331</v>
      </c>
      <c r="K17" s="990"/>
    </row>
    <row r="18" spans="1:12" x14ac:dyDescent="0.2">
      <c r="A18" s="156"/>
      <c r="B18" s="499" t="s">
        <v>1657</v>
      </c>
      <c r="C18" s="229" t="str">
        <f>+BOM!AD56</f>
        <v>B91.14.350.0800</v>
      </c>
      <c r="H18" s="507">
        <f>+p12q3</f>
        <v>61.669358292069255</v>
      </c>
      <c r="J18" s="988" t="s">
        <v>1904</v>
      </c>
      <c r="K18" s="990"/>
    </row>
    <row r="19" spans="1:12" x14ac:dyDescent="0.2">
      <c r="A19" s="156"/>
      <c r="B19" s="499" t="s">
        <v>1656</v>
      </c>
      <c r="C19" s="168" t="str">
        <f>IF(BOM!AD28=0," ",+BOM!AD28)</f>
        <v xml:space="preserve"> </v>
      </c>
    </row>
    <row r="20" spans="1:12" x14ac:dyDescent="0.2">
      <c r="A20" s="156"/>
      <c r="H20" s="986" t="s">
        <v>1907</v>
      </c>
      <c r="I20" s="987"/>
      <c r="J20" s="987"/>
      <c r="K20" s="987"/>
      <c r="L20" s="464" t="s">
        <v>1197</v>
      </c>
    </row>
    <row r="21" spans="1:12" x14ac:dyDescent="0.2">
      <c r="A21" s="156"/>
      <c r="B21" s="496" t="s">
        <v>609</v>
      </c>
      <c r="C21" s="229" t="str">
        <f>+BOM!AD98</f>
        <v>2B.01C</v>
      </c>
      <c r="H21" s="989" t="s">
        <v>1562</v>
      </c>
      <c r="I21" s="989"/>
      <c r="J21" s="989"/>
      <c r="K21" s="500" t="str">
        <f>+SprocketD</f>
        <v>P58.35.012.016</v>
      </c>
      <c r="L21" s="463">
        <f>+SprocketDZ1</f>
        <v>12</v>
      </c>
    </row>
    <row r="22" spans="1:12" x14ac:dyDescent="0.2">
      <c r="A22" s="156"/>
      <c r="B22" s="499" t="s">
        <v>1656</v>
      </c>
      <c r="C22" s="168" t="str">
        <f>+BOM!AD113</f>
        <v>B91.54.352.0800</v>
      </c>
      <c r="H22" s="989" t="s">
        <v>1563</v>
      </c>
      <c r="I22" s="989"/>
      <c r="J22" s="989"/>
      <c r="K22" s="500" t="str">
        <f>+SprocketM</f>
        <v>P58.35.016</v>
      </c>
      <c r="L22" s="463">
        <f>+SprocketDZ2</f>
        <v>16</v>
      </c>
    </row>
    <row r="23" spans="1:12" x14ac:dyDescent="0.2">
      <c r="A23" s="156"/>
    </row>
    <row r="24" spans="1:12" x14ac:dyDescent="0.2">
      <c r="A24" s="156"/>
      <c r="B24" s="496" t="s">
        <v>610</v>
      </c>
      <c r="C24" s="168" t="str">
        <f>+BOM!AD131</f>
        <v xml:space="preserve"> </v>
      </c>
      <c r="E24" s="162"/>
      <c r="H24" s="991" t="s">
        <v>1198</v>
      </c>
      <c r="I24" s="991"/>
      <c r="J24" s="991"/>
      <c r="K24" s="991"/>
    </row>
    <row r="25" spans="1:12" x14ac:dyDescent="0.2">
      <c r="A25" s="156"/>
      <c r="B25" s="496" t="s">
        <v>1656</v>
      </c>
      <c r="C25" s="168" t="str">
        <f>+BOM!AD146</f>
        <v xml:space="preserve"> </v>
      </c>
      <c r="E25" s="162"/>
      <c r="H25" s="508">
        <f>+(C30/H17)*(L22/L21)*P0Q4</f>
        <v>18.296635614506954</v>
      </c>
      <c r="I25" s="325" t="s">
        <v>505</v>
      </c>
      <c r="J25" s="992">
        <f>+H25/H11</f>
        <v>1.0004600354012403</v>
      </c>
      <c r="K25" s="994" t="s">
        <v>1890</v>
      </c>
    </row>
    <row r="26" spans="1:12" x14ac:dyDescent="0.2">
      <c r="A26" s="156"/>
      <c r="H26" s="508">
        <f>+H25*3.2808</f>
        <v>60.02760212407442</v>
      </c>
      <c r="I26" s="325" t="s">
        <v>364</v>
      </c>
      <c r="J26" s="993"/>
      <c r="K26" s="995"/>
    </row>
    <row r="27" spans="1:12" x14ac:dyDescent="0.2">
      <c r="A27" s="156"/>
      <c r="B27" s="496" t="s">
        <v>658</v>
      </c>
      <c r="C27" s="168" t="str">
        <f>+quote18</f>
        <v>P31.05.007</v>
      </c>
      <c r="E27" s="500" t="s">
        <v>1559</v>
      </c>
      <c r="F27" s="325"/>
      <c r="H27" s="508">
        <f>+L21/L22*C31</f>
        <v>79.5</v>
      </c>
      <c r="I27" s="168" t="s">
        <v>352</v>
      </c>
      <c r="J27" s="509">
        <f>+H27/H18</f>
        <v>1.2891329211418725</v>
      </c>
      <c r="K27" s="510" t="s">
        <v>1905</v>
      </c>
    </row>
    <row r="28" spans="1:12" x14ac:dyDescent="0.2">
      <c r="A28" s="156"/>
      <c r="B28" s="496" t="s">
        <v>1331</v>
      </c>
      <c r="C28" s="168" t="str">
        <f>+quote71</f>
        <v>Bodine</v>
      </c>
      <c r="D28" s="324"/>
      <c r="E28" s="500" t="s">
        <v>1560</v>
      </c>
      <c r="F28" s="418"/>
      <c r="H28" s="511">
        <f>+C29</f>
        <v>0.25</v>
      </c>
      <c r="I28" s="168" t="s">
        <v>350</v>
      </c>
      <c r="J28" s="509">
        <f>+H28/H16</f>
        <v>2.28227386215984</v>
      </c>
      <c r="K28" s="510" t="s">
        <v>1906</v>
      </c>
    </row>
    <row r="29" spans="1:12" x14ac:dyDescent="0.2">
      <c r="A29" s="156"/>
      <c r="B29" s="496" t="s">
        <v>662</v>
      </c>
      <c r="C29" s="168">
        <f>+quote44</f>
        <v>0.25</v>
      </c>
      <c r="D29" s="324"/>
      <c r="E29" s="500" t="s">
        <v>1561</v>
      </c>
      <c r="F29" s="418"/>
    </row>
    <row r="30" spans="1:12" x14ac:dyDescent="0.2">
      <c r="A30" s="156"/>
      <c r="B30" s="496" t="s">
        <v>331</v>
      </c>
      <c r="C30" s="168">
        <f>+quote45</f>
        <v>84</v>
      </c>
      <c r="E30" s="500" t="s">
        <v>1039</v>
      </c>
      <c r="F30" s="418"/>
    </row>
    <row r="31" spans="1:12" x14ac:dyDescent="0.2">
      <c r="A31" s="156"/>
      <c r="B31" s="496" t="s">
        <v>671</v>
      </c>
      <c r="C31" s="168">
        <f>+quote46</f>
        <v>106</v>
      </c>
      <c r="E31" s="500" t="s">
        <v>1251</v>
      </c>
      <c r="F31" s="418"/>
    </row>
    <row r="32" spans="1:12" x14ac:dyDescent="0.2">
      <c r="A32" s="156"/>
    </row>
    <row r="33" spans="1:11" x14ac:dyDescent="0.2">
      <c r="A33" s="156"/>
      <c r="B33" s="496" t="s">
        <v>679</v>
      </c>
      <c r="C33" s="168" t="str">
        <f>+quote26</f>
        <v>P31.10.147</v>
      </c>
      <c r="E33" s="162"/>
    </row>
    <row r="34" spans="1:11" x14ac:dyDescent="0.2">
      <c r="A34" s="156"/>
      <c r="B34" s="496" t="s">
        <v>822</v>
      </c>
      <c r="C34" s="168"/>
      <c r="E34" s="162"/>
    </row>
    <row r="35" spans="1:11" x14ac:dyDescent="0.2">
      <c r="A35" s="156"/>
      <c r="B35" s="496" t="s">
        <v>1945</v>
      </c>
      <c r="C35" s="168"/>
      <c r="E35" s="162"/>
    </row>
    <row r="36" spans="1:11" x14ac:dyDescent="0.2">
      <c r="A36" s="156"/>
      <c r="B36" s="496" t="s">
        <v>1452</v>
      </c>
      <c r="C36" s="168" t="str">
        <f>IF(quote82=0," ",+quote82)</f>
        <v xml:space="preserve"> </v>
      </c>
      <c r="E36" s="162"/>
    </row>
    <row r="37" spans="1:11" x14ac:dyDescent="0.2">
      <c r="A37" s="156"/>
      <c r="B37" s="496" t="s">
        <v>1453</v>
      </c>
      <c r="C37" s="168" t="str">
        <f>IF(quote83=0," ",+quote83)</f>
        <v xml:space="preserve"> </v>
      </c>
      <c r="E37" s="162"/>
    </row>
    <row r="38" spans="1:11" x14ac:dyDescent="0.2">
      <c r="A38" s="156"/>
    </row>
    <row r="39" spans="1:11" x14ac:dyDescent="0.2">
      <c r="A39" s="156"/>
      <c r="B39" s="496" t="s">
        <v>976</v>
      </c>
      <c r="C39" s="168"/>
    </row>
    <row r="40" spans="1:11" x14ac:dyDescent="0.2">
      <c r="A40" s="156"/>
      <c r="B40" s="496" t="s">
        <v>1917</v>
      </c>
      <c r="C40" s="168"/>
    </row>
    <row r="41" spans="1:11" x14ac:dyDescent="0.2">
      <c r="A41" s="156"/>
      <c r="B41" s="496" t="s">
        <v>1946</v>
      </c>
      <c r="C41" s="168"/>
    </row>
    <row r="42" spans="1:11" x14ac:dyDescent="0.2">
      <c r="A42" s="156"/>
    </row>
    <row r="43" spans="1:11" x14ac:dyDescent="0.2">
      <c r="A43" s="156"/>
      <c r="B43" s="496" t="s">
        <v>777</v>
      </c>
      <c r="C43" s="168" t="str">
        <f>+quote13</f>
        <v>55.1</v>
      </c>
      <c r="E43" s="496" t="s">
        <v>641</v>
      </c>
      <c r="F43" s="168" t="str">
        <f>+quote8</f>
        <v>HSF03</v>
      </c>
      <c r="H43" s="168" t="s">
        <v>354</v>
      </c>
      <c r="I43" s="168" t="str">
        <f>+P6Q10</f>
        <v>460445</v>
      </c>
    </row>
    <row r="44" spans="1:11" x14ac:dyDescent="0.2">
      <c r="A44" s="156"/>
      <c r="B44" s="168" t="s">
        <v>778</v>
      </c>
      <c r="C44" s="168">
        <f>+quote12</f>
        <v>3</v>
      </c>
      <c r="E44" s="168" t="s">
        <v>604</v>
      </c>
      <c r="F44" s="168">
        <f>+quote74</f>
        <v>21</v>
      </c>
      <c r="H44" s="325" t="s">
        <v>567</v>
      </c>
      <c r="I44" s="325">
        <f>+quote65</f>
        <v>785</v>
      </c>
    </row>
    <row r="45" spans="1:11" x14ac:dyDescent="0.2">
      <c r="A45" s="156"/>
      <c r="B45" s="168" t="s">
        <v>714</v>
      </c>
      <c r="C45" s="168">
        <f>+quote14</f>
        <v>1168.4000000000001</v>
      </c>
      <c r="E45" s="168" t="s">
        <v>770</v>
      </c>
      <c r="F45" s="414">
        <f>+Rails!O56</f>
        <v>6</v>
      </c>
      <c r="H45" s="325" t="s">
        <v>568</v>
      </c>
      <c r="I45" s="256">
        <f>+quote66</f>
        <v>6765.6</v>
      </c>
    </row>
    <row r="46" spans="1:11" x14ac:dyDescent="0.2">
      <c r="A46" s="156"/>
      <c r="B46" s="168" t="s">
        <v>779</v>
      </c>
      <c r="C46" s="512" t="str">
        <f>IF(quote20=0,"N","Y")</f>
        <v>N</v>
      </c>
      <c r="E46" s="168" t="s">
        <v>653</v>
      </c>
      <c r="F46" s="414">
        <f>+quote7</f>
        <v>0</v>
      </c>
    </row>
    <row r="47" spans="1:11" x14ac:dyDescent="0.2">
      <c r="A47" s="156"/>
      <c r="B47" s="168" t="s">
        <v>780</v>
      </c>
      <c r="C47" s="512" t="str">
        <f>IF(quote19=0,"N","Y")</f>
        <v>Y</v>
      </c>
      <c r="G47" s="162"/>
    </row>
    <row r="48" spans="1:11" x14ac:dyDescent="0.2">
      <c r="A48" s="156"/>
      <c r="B48" s="168" t="s">
        <v>781</v>
      </c>
      <c r="C48" s="168"/>
      <c r="G48" s="996" t="s">
        <v>413</v>
      </c>
      <c r="H48" s="996"/>
      <c r="I48" s="996"/>
      <c r="J48" s="996"/>
      <c r="K48" s="996"/>
    </row>
    <row r="49" spans="2:11" x14ac:dyDescent="0.2">
      <c r="B49" s="227" t="s">
        <v>257</v>
      </c>
      <c r="C49" s="512">
        <f>IF(P10q10="Yes",+quote12*2,"N")</f>
        <v>6</v>
      </c>
      <c r="G49" s="985" t="s">
        <v>414</v>
      </c>
      <c r="H49" s="985"/>
      <c r="I49" s="985"/>
      <c r="J49" s="985"/>
      <c r="K49" s="985"/>
    </row>
  </sheetData>
  <mergeCells count="16">
    <mergeCell ref="B3:E3"/>
    <mergeCell ref="B8:D8"/>
    <mergeCell ref="G49:K49"/>
    <mergeCell ref="H10:K10"/>
    <mergeCell ref="I13:K13"/>
    <mergeCell ref="H22:J22"/>
    <mergeCell ref="H21:J21"/>
    <mergeCell ref="J16:K16"/>
    <mergeCell ref="J17:K17"/>
    <mergeCell ref="J18:K18"/>
    <mergeCell ref="H20:K20"/>
    <mergeCell ref="H24:K24"/>
    <mergeCell ref="J25:J26"/>
    <mergeCell ref="K25:K26"/>
    <mergeCell ref="G48:K48"/>
    <mergeCell ref="H15:K15"/>
  </mergeCells>
  <conditionalFormatting sqref="G48:K49">
    <cfRule type="expression" dxfId="1" priority="1" stopIfTrue="1">
      <formula>info8&gt;0.2</formula>
    </cfRule>
  </conditionalFormatting>
  <pageMargins left="0.5" right="0.5" top="0.5" bottom="0.69" header="0" footer="0.43"/>
  <pageSetup scale="86" orientation="portrait" r:id="rId1"/>
  <headerFooter alignWithMargins="0">
    <oddFooter>&amp;L&amp;8&amp;F&amp;R&amp;D &amp;T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2">
    <tabColor indexed="11"/>
    <pageSetUpPr fitToPage="1"/>
  </sheetPr>
  <dimension ref="A3:K52"/>
  <sheetViews>
    <sheetView topLeftCell="A16" workbookViewId="0">
      <selection activeCell="A56" sqref="A56"/>
    </sheetView>
  </sheetViews>
  <sheetFormatPr defaultColWidth="8.85546875" defaultRowHeight="12.75" x14ac:dyDescent="0.2"/>
  <cols>
    <col min="1" max="10" width="8.85546875" style="111" customWidth="1"/>
    <col min="11" max="11" width="3.28515625" style="111" customWidth="1"/>
    <col min="12" max="16384" width="8.85546875" style="111"/>
  </cols>
  <sheetData>
    <row r="3" spans="1:11" x14ac:dyDescent="0.2">
      <c r="B3" s="997" t="s">
        <v>513</v>
      </c>
      <c r="C3" s="997"/>
      <c r="D3" s="997"/>
      <c r="E3" s="997"/>
    </row>
    <row r="4" spans="1:11" x14ac:dyDescent="0.2">
      <c r="B4" s="997"/>
      <c r="C4" s="997"/>
      <c r="D4" s="997"/>
      <c r="E4" s="997"/>
    </row>
    <row r="5" spans="1:11" ht="4.9000000000000004" customHeight="1" x14ac:dyDescent="0.2">
      <c r="A5" s="322"/>
      <c r="B5" s="322"/>
      <c r="C5" s="322"/>
      <c r="D5" s="322"/>
      <c r="E5" s="322"/>
      <c r="F5" s="322"/>
      <c r="G5" s="322"/>
      <c r="H5" s="322"/>
      <c r="I5" s="322"/>
      <c r="J5" s="322"/>
      <c r="K5" s="322"/>
    </row>
    <row r="6" spans="1:11" ht="4.9000000000000004" customHeight="1" x14ac:dyDescent="0.2">
      <c r="A6" s="323"/>
      <c r="B6" s="323"/>
      <c r="C6" s="323"/>
      <c r="D6" s="323"/>
      <c r="E6" s="323"/>
      <c r="F6" s="323"/>
      <c r="G6" s="323"/>
      <c r="H6" s="323"/>
      <c r="I6" s="323"/>
      <c r="J6" s="323"/>
      <c r="K6" s="323"/>
    </row>
    <row r="15" spans="1:11" x14ac:dyDescent="0.2">
      <c r="B15" s="282" t="s">
        <v>1596</v>
      </c>
      <c r="C15" s="283"/>
      <c r="D15" s="283"/>
      <c r="E15" s="284"/>
      <c r="G15" s="282" t="s">
        <v>1597</v>
      </c>
      <c r="H15" s="283"/>
      <c r="I15" s="283"/>
      <c r="J15" s="284"/>
    </row>
    <row r="16" spans="1:11" x14ac:dyDescent="0.2">
      <c r="B16" s="128"/>
      <c r="E16" s="131"/>
      <c r="G16" s="128"/>
      <c r="J16" s="131"/>
    </row>
    <row r="17" spans="2:10" x14ac:dyDescent="0.2">
      <c r="B17" s="235"/>
      <c r="C17" s="285"/>
      <c r="D17" s="285"/>
      <c r="E17" s="286"/>
      <c r="G17" s="235"/>
      <c r="H17" s="285"/>
      <c r="I17" s="285"/>
      <c r="J17" s="286"/>
    </row>
    <row r="18" spans="2:10" x14ac:dyDescent="0.2">
      <c r="B18" s="282" t="s">
        <v>1595</v>
      </c>
      <c r="C18" s="283"/>
      <c r="D18" s="283"/>
      <c r="E18" s="284"/>
      <c r="G18" s="282" t="s">
        <v>1598</v>
      </c>
      <c r="H18" s="283"/>
      <c r="I18" s="283"/>
      <c r="J18" s="284"/>
    </row>
    <row r="19" spans="2:10" x14ac:dyDescent="0.2">
      <c r="B19" s="128"/>
      <c r="E19" s="131"/>
      <c r="G19" s="128"/>
      <c r="J19" s="131"/>
    </row>
    <row r="20" spans="2:10" x14ac:dyDescent="0.2">
      <c r="B20" s="235"/>
      <c r="C20" s="285"/>
      <c r="D20" s="285"/>
      <c r="E20" s="286"/>
      <c r="G20" s="235"/>
      <c r="H20" s="285"/>
      <c r="I20" s="285"/>
      <c r="J20" s="286"/>
    </row>
    <row r="22" spans="2:10" x14ac:dyDescent="0.2">
      <c r="B22" s="282" t="s">
        <v>1599</v>
      </c>
      <c r="C22" s="283"/>
      <c r="D22" s="283"/>
      <c r="E22" s="284"/>
      <c r="G22" s="282" t="s">
        <v>1600</v>
      </c>
      <c r="H22" s="283"/>
      <c r="I22" s="283"/>
      <c r="J22" s="284"/>
    </row>
    <row r="23" spans="2:10" x14ac:dyDescent="0.2">
      <c r="B23" s="128"/>
      <c r="E23" s="131"/>
      <c r="G23" s="128"/>
      <c r="J23" s="131"/>
    </row>
    <row r="24" spans="2:10" x14ac:dyDescent="0.2">
      <c r="B24" s="235"/>
      <c r="C24" s="285"/>
      <c r="D24" s="285"/>
      <c r="E24" s="286"/>
      <c r="G24" s="235"/>
      <c r="H24" s="285"/>
      <c r="I24" s="285"/>
      <c r="J24" s="286"/>
    </row>
    <row r="26" spans="2:10" x14ac:dyDescent="0.2">
      <c r="B26" s="282" t="s">
        <v>1601</v>
      </c>
      <c r="C26" s="284"/>
      <c r="E26" s="282" t="s">
        <v>1603</v>
      </c>
      <c r="F26" s="284"/>
      <c r="H26" s="282" t="s">
        <v>1604</v>
      </c>
      <c r="I26" s="283"/>
      <c r="J26" s="284"/>
    </row>
    <row r="27" spans="2:10" x14ac:dyDescent="0.2">
      <c r="B27" s="128"/>
      <c r="C27" s="131"/>
      <c r="E27" s="128"/>
      <c r="F27" s="131"/>
      <c r="H27" s="128"/>
      <c r="J27" s="131"/>
    </row>
    <row r="28" spans="2:10" x14ac:dyDescent="0.2">
      <c r="B28" s="235"/>
      <c r="C28" s="286"/>
      <c r="E28" s="235"/>
      <c r="F28" s="286"/>
      <c r="H28" s="235"/>
      <c r="I28" s="285"/>
      <c r="J28" s="286"/>
    </row>
    <row r="30" spans="2:10" ht="18" x14ac:dyDescent="0.25">
      <c r="B30" s="421" t="s">
        <v>1602</v>
      </c>
      <c r="C30" s="426"/>
      <c r="D30" s="428"/>
      <c r="E30" s="283"/>
      <c r="F30" s="283"/>
      <c r="G30" s="283"/>
      <c r="H30" s="283"/>
      <c r="I30" s="283"/>
      <c r="J30" s="284"/>
    </row>
    <row r="31" spans="2:10" ht="18" x14ac:dyDescent="0.25">
      <c r="B31" s="424" t="s">
        <v>543</v>
      </c>
      <c r="C31" s="425"/>
      <c r="D31" s="421" t="str">
        <f>+quote18</f>
        <v>P31.05.007</v>
      </c>
      <c r="E31" s="427"/>
      <c r="F31" s="427"/>
      <c r="G31" s="427"/>
      <c r="H31" s="427"/>
      <c r="I31" s="427"/>
      <c r="J31" s="316"/>
    </row>
    <row r="32" spans="2:10" ht="18" x14ac:dyDescent="0.25">
      <c r="B32" s="422" t="s">
        <v>1605</v>
      </c>
      <c r="C32" s="423"/>
      <c r="D32" s="438" t="str">
        <f>FIXED(quote44,2)&amp;" hp"</f>
        <v>0.25 hp</v>
      </c>
      <c r="E32" s="427"/>
      <c r="F32" s="427"/>
      <c r="G32" s="427"/>
      <c r="H32" s="427"/>
      <c r="I32" s="427"/>
      <c r="J32" s="316"/>
    </row>
    <row r="33" spans="2:10" ht="18" x14ac:dyDescent="0.25">
      <c r="B33" s="422" t="s">
        <v>1606</v>
      </c>
      <c r="C33" s="423"/>
      <c r="D33" s="429" t="str">
        <f>+quote45&amp;" rpm"</f>
        <v>84 rpm</v>
      </c>
      <c r="E33" s="427"/>
      <c r="F33" s="427"/>
      <c r="G33" s="427"/>
      <c r="H33" s="427"/>
      <c r="I33" s="427"/>
      <c r="J33" s="316"/>
    </row>
    <row r="34" spans="2:10" ht="18" x14ac:dyDescent="0.25">
      <c r="B34" s="422" t="s">
        <v>1607</v>
      </c>
      <c r="C34" s="423"/>
      <c r="D34" s="429" t="str">
        <f>+quote46&amp;" lb-in"</f>
        <v>106 lb-in</v>
      </c>
      <c r="E34" s="427"/>
      <c r="F34" s="427"/>
      <c r="G34" s="427"/>
      <c r="H34" s="427"/>
      <c r="I34" s="427"/>
      <c r="J34" s="316"/>
    </row>
    <row r="35" spans="2:10" ht="18" x14ac:dyDescent="0.25">
      <c r="B35" s="422" t="s">
        <v>768</v>
      </c>
      <c r="C35" s="423"/>
      <c r="D35" s="430" t="s">
        <v>1608</v>
      </c>
      <c r="E35" s="427"/>
      <c r="F35" s="427"/>
      <c r="G35" s="427"/>
      <c r="H35" s="427"/>
      <c r="I35" s="427"/>
      <c r="J35" s="316"/>
    </row>
    <row r="37" spans="2:10" ht="18" x14ac:dyDescent="0.25">
      <c r="B37" s="431" t="s">
        <v>1611</v>
      </c>
      <c r="C37" s="433"/>
      <c r="D37" s="434"/>
      <c r="E37" s="432" t="e">
        <f>+quote95</f>
        <v>#NAME?</v>
      </c>
      <c r="F37" s="427"/>
      <c r="G37" s="427"/>
      <c r="H37" s="427"/>
      <c r="I37" s="427"/>
      <c r="J37" s="316"/>
    </row>
    <row r="38" spans="2:10" ht="18" x14ac:dyDescent="0.25">
      <c r="B38" s="431" t="s">
        <v>1612</v>
      </c>
      <c r="C38" s="433"/>
      <c r="D38" s="434"/>
      <c r="E38" s="432" t="str">
        <f>+quote76&amp;" mm"</f>
        <v>15.875 mm</v>
      </c>
      <c r="F38" s="427"/>
      <c r="G38" s="427"/>
      <c r="H38" s="427"/>
      <c r="I38" s="427"/>
      <c r="J38" s="316"/>
    </row>
    <row r="39" spans="2:10" ht="18" x14ac:dyDescent="0.25">
      <c r="B39" s="431" t="s">
        <v>1613</v>
      </c>
      <c r="C39" s="433"/>
      <c r="D39" s="434"/>
      <c r="E39" s="432" t="e">
        <f>+quote95</f>
        <v>#NAME?</v>
      </c>
      <c r="F39" s="427"/>
      <c r="G39" s="427"/>
      <c r="H39" s="427"/>
      <c r="I39" s="427"/>
      <c r="J39" s="316"/>
    </row>
    <row r="40" spans="2:10" ht="18" x14ac:dyDescent="0.25">
      <c r="B40" s="431" t="s">
        <v>1614</v>
      </c>
      <c r="C40" s="433"/>
      <c r="D40" s="434"/>
      <c r="E40" s="435" t="s">
        <v>1615</v>
      </c>
      <c r="F40" s="427"/>
      <c r="G40" s="427"/>
      <c r="H40" s="427"/>
      <c r="I40" s="427"/>
      <c r="J40" s="316"/>
    </row>
    <row r="41" spans="2:10" ht="18" x14ac:dyDescent="0.25">
      <c r="B41" s="431" t="s">
        <v>1609</v>
      </c>
      <c r="C41" s="433"/>
      <c r="D41" s="434"/>
      <c r="E41" s="432" t="e">
        <f>+quote96</f>
        <v>#NAME?</v>
      </c>
      <c r="F41" s="427"/>
      <c r="G41" s="427"/>
      <c r="H41" s="427"/>
      <c r="I41" s="427"/>
      <c r="J41" s="316"/>
    </row>
    <row r="42" spans="2:10" ht="18" x14ac:dyDescent="0.25">
      <c r="B42" s="431" t="s">
        <v>1610</v>
      </c>
      <c r="C42" s="433"/>
      <c r="D42" s="434"/>
      <c r="E42" s="432" t="e">
        <f>+quote97</f>
        <v>#NAME?</v>
      </c>
      <c r="F42" s="427"/>
      <c r="G42" s="427"/>
      <c r="H42" s="427"/>
      <c r="I42" s="427"/>
      <c r="J42" s="316"/>
    </row>
    <row r="44" spans="2:10" ht="18" x14ac:dyDescent="0.25">
      <c r="B44" s="431" t="s">
        <v>1616</v>
      </c>
      <c r="C44" s="433"/>
      <c r="D44" s="434"/>
      <c r="E44" s="432" t="e">
        <v>#N/A</v>
      </c>
      <c r="F44" s="427"/>
      <c r="G44" s="427"/>
      <c r="H44" s="427"/>
      <c r="I44" s="427"/>
      <c r="J44" s="316"/>
    </row>
    <row r="47" spans="2:10" x14ac:dyDescent="0.2">
      <c r="G47" s="282" t="s">
        <v>1617</v>
      </c>
      <c r="H47" s="283"/>
      <c r="I47" s="283"/>
      <c r="J47" s="284"/>
    </row>
    <row r="48" spans="2:10" x14ac:dyDescent="0.2">
      <c r="G48" s="128"/>
      <c r="J48" s="131"/>
    </row>
    <row r="49" spans="1:11" x14ac:dyDescent="0.2">
      <c r="B49" s="420" t="s">
        <v>1618</v>
      </c>
      <c r="G49" s="235"/>
      <c r="H49" s="285"/>
      <c r="I49" s="285"/>
      <c r="J49" s="286"/>
    </row>
    <row r="51" spans="1:11" ht="4.9000000000000004" customHeight="1" x14ac:dyDescent="0.2">
      <c r="A51" s="322"/>
      <c r="B51" s="322"/>
      <c r="C51" s="322"/>
      <c r="D51" s="322"/>
      <c r="E51" s="322"/>
      <c r="F51" s="322"/>
      <c r="G51" s="322"/>
      <c r="H51" s="322"/>
      <c r="I51" s="322"/>
      <c r="J51" s="322"/>
      <c r="K51" s="322"/>
    </row>
    <row r="52" spans="1:11" ht="4.9000000000000004" customHeight="1" x14ac:dyDescent="0.2">
      <c r="A52" s="323"/>
      <c r="B52" s="323"/>
      <c r="C52" s="323"/>
      <c r="D52" s="323"/>
      <c r="E52" s="323"/>
      <c r="F52" s="323"/>
      <c r="G52" s="323"/>
      <c r="H52" s="323"/>
      <c r="I52" s="323"/>
      <c r="J52" s="323"/>
      <c r="K52" s="323"/>
    </row>
  </sheetData>
  <mergeCells count="1">
    <mergeCell ref="B3:E4"/>
  </mergeCells>
  <pageMargins left="0.75" right="0.75" top="0.57999999999999996" bottom="1" header="0.5" footer="0.5"/>
  <pageSetup scale="24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AutoCAD.Drawing.18" shapeId="78851" r:id="rId4">
          <objectPr defaultSize="0" r:id="rId5">
            <anchor moveWithCells="1">
              <from>
                <xdr:col>16</xdr:col>
                <xdr:colOff>0</xdr:colOff>
                <xdr:row>19</xdr:row>
                <xdr:rowOff>0</xdr:rowOff>
              </from>
              <to>
                <xdr:col>41</xdr:col>
                <xdr:colOff>180975</xdr:colOff>
                <xdr:row>59</xdr:row>
                <xdr:rowOff>76200</xdr:rowOff>
              </to>
            </anchor>
          </objectPr>
        </oleObject>
      </mc:Choice>
      <mc:Fallback>
        <oleObject progId="AutoCAD.Drawing.18" shapeId="78851" r:id="rId4"/>
      </mc:Fallback>
    </mc:AlternateContent>
  </oleObjec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">
    <tabColor indexed="10"/>
  </sheetPr>
  <dimension ref="A1:Q168"/>
  <sheetViews>
    <sheetView topLeftCell="A84" workbookViewId="0">
      <selection activeCell="G118" sqref="G118"/>
    </sheetView>
  </sheetViews>
  <sheetFormatPr defaultRowHeight="12.75" x14ac:dyDescent="0.2"/>
  <cols>
    <col min="1" max="1" width="28.85546875" bestFit="1" customWidth="1"/>
    <col min="2" max="2" width="8.28515625" bestFit="1" customWidth="1"/>
    <col min="3" max="3" width="37.28515625" bestFit="1" customWidth="1"/>
    <col min="4" max="4" width="8.5703125" bestFit="1" customWidth="1"/>
    <col min="5" max="5" width="6" bestFit="1" customWidth="1"/>
    <col min="6" max="6" width="5.28515625" bestFit="1" customWidth="1"/>
    <col min="7" max="7" width="12" bestFit="1" customWidth="1"/>
    <col min="8" max="8" width="13.5703125" bestFit="1" customWidth="1"/>
    <col min="9" max="9" width="12" bestFit="1" customWidth="1"/>
    <col min="10" max="10" width="8.85546875" bestFit="1" customWidth="1"/>
    <col min="11" max="11" width="18" bestFit="1" customWidth="1"/>
    <col min="12" max="12" width="8.42578125" bestFit="1" customWidth="1"/>
    <col min="13" max="13" width="27.28515625" bestFit="1" customWidth="1"/>
    <col min="14" max="14" width="8.5703125" bestFit="1" customWidth="1"/>
    <col min="15" max="15" width="5.140625" bestFit="1" customWidth="1"/>
    <col min="16" max="16" width="11.42578125" bestFit="1" customWidth="1"/>
  </cols>
  <sheetData>
    <row r="1" spans="1:8" x14ac:dyDescent="0.2">
      <c r="A1" s="175" t="s">
        <v>718</v>
      </c>
      <c r="B1" s="181"/>
      <c r="C1" s="181"/>
      <c r="D1" s="181"/>
      <c r="E1" s="181"/>
      <c r="F1" s="181"/>
      <c r="G1" s="182"/>
    </row>
    <row r="2" spans="1:8" x14ac:dyDescent="0.2">
      <c r="A2" s="179"/>
      <c r="B2" s="111"/>
      <c r="C2" s="111"/>
      <c r="D2" s="111"/>
      <c r="E2" s="111"/>
      <c r="F2" s="111"/>
      <c r="G2" s="183"/>
    </row>
    <row r="3" spans="1:8" x14ac:dyDescent="0.2">
      <c r="A3" s="179" t="s">
        <v>568</v>
      </c>
      <c r="B3" s="173" t="s">
        <v>569</v>
      </c>
      <c r="C3" s="173">
        <f>+p0q1</f>
        <v>3352.8</v>
      </c>
      <c r="D3" s="111" t="s">
        <v>310</v>
      </c>
      <c r="E3" s="97">
        <f>+ROUND(C3/25.4,1)</f>
        <v>132</v>
      </c>
      <c r="F3" s="111" t="s">
        <v>556</v>
      </c>
      <c r="G3" s="177" t="s">
        <v>597</v>
      </c>
    </row>
    <row r="4" spans="1:8" x14ac:dyDescent="0.2">
      <c r="A4" s="179" t="s">
        <v>567</v>
      </c>
      <c r="B4" s="173" t="s">
        <v>570</v>
      </c>
      <c r="C4" s="173">
        <f>+P0Q2</f>
        <v>800</v>
      </c>
      <c r="D4" s="111" t="s">
        <v>310</v>
      </c>
      <c r="E4" s="174">
        <f>+ROUND(C4/25.4,2)</f>
        <v>31.5</v>
      </c>
      <c r="F4" s="111" t="s">
        <v>556</v>
      </c>
      <c r="G4" s="177" t="s">
        <v>598</v>
      </c>
    </row>
    <row r="5" spans="1:8" x14ac:dyDescent="0.2">
      <c r="A5" s="179" t="s">
        <v>629</v>
      </c>
      <c r="B5" s="50" t="s">
        <v>630</v>
      </c>
      <c r="C5" s="50">
        <f>+P6Q9</f>
        <v>0</v>
      </c>
      <c r="D5" s="111" t="s">
        <v>360</v>
      </c>
      <c r="E5" s="111"/>
      <c r="F5" s="111"/>
      <c r="G5" s="183"/>
    </row>
    <row r="6" spans="1:8" x14ac:dyDescent="0.2">
      <c r="A6" s="179" t="s">
        <v>755</v>
      </c>
      <c r="B6" s="111"/>
      <c r="D6" s="111"/>
      <c r="E6" s="223">
        <f>IF(P1Q1="Head",ROUNDDOWN((p0q1-1)/3000,0),+(ROUNDDOWN(((p0q1-1)/6000),0)*2))</f>
        <v>1</v>
      </c>
      <c r="F6" s="111"/>
      <c r="G6" s="177" t="s">
        <v>756</v>
      </c>
    </row>
    <row r="7" spans="1:8" ht="13.5" thickBot="1" x14ac:dyDescent="0.25">
      <c r="A7" s="180" t="s">
        <v>758</v>
      </c>
      <c r="B7" s="184"/>
      <c r="C7" s="772" t="s">
        <v>760</v>
      </c>
      <c r="D7" s="184"/>
      <c r="E7" s="184"/>
      <c r="F7" s="184"/>
      <c r="G7" s="177" t="s">
        <v>762</v>
      </c>
      <c r="H7" s="253" t="s">
        <v>2342</v>
      </c>
    </row>
    <row r="8" spans="1:8" ht="13.5" thickBot="1" x14ac:dyDescent="0.25"/>
    <row r="9" spans="1:8" x14ac:dyDescent="0.2">
      <c r="A9" s="175" t="s">
        <v>1976</v>
      </c>
      <c r="B9" s="181"/>
      <c r="C9" s="181"/>
      <c r="D9" s="181"/>
      <c r="E9" s="181"/>
      <c r="F9" s="181"/>
      <c r="G9" s="182"/>
    </row>
    <row r="10" spans="1:8" x14ac:dyDescent="0.2">
      <c r="A10" s="179" t="s">
        <v>604</v>
      </c>
      <c r="B10" s="267" t="s">
        <v>1977</v>
      </c>
      <c r="C10" s="50" t="str">
        <f>+P0Q14</f>
        <v>Galvanized</v>
      </c>
      <c r="D10" s="111"/>
      <c r="E10" s="111"/>
      <c r="F10" s="111"/>
      <c r="G10" s="183"/>
    </row>
    <row r="11" spans="1:8" ht="13.5" thickBot="1" x14ac:dyDescent="0.25">
      <c r="A11" s="180"/>
      <c r="B11" s="184"/>
      <c r="C11" s="184"/>
      <c r="D11" s="184"/>
      <c r="E11" s="184"/>
      <c r="F11" s="184"/>
      <c r="G11" s="185"/>
    </row>
    <row r="12" spans="1:8" ht="13.5" thickBot="1" x14ac:dyDescent="0.25"/>
    <row r="13" spans="1:8" x14ac:dyDescent="0.2">
      <c r="A13" s="175" t="s">
        <v>719</v>
      </c>
      <c r="B13" s="181"/>
      <c r="C13" s="181"/>
      <c r="D13" s="181"/>
      <c r="E13" s="181"/>
      <c r="F13" s="181"/>
      <c r="G13" s="182"/>
    </row>
    <row r="14" spans="1:8" x14ac:dyDescent="0.2">
      <c r="A14" s="179" t="s">
        <v>604</v>
      </c>
      <c r="B14" s="50" t="s">
        <v>605</v>
      </c>
      <c r="C14" s="50" t="str">
        <f>+P1Q1</f>
        <v>Head</v>
      </c>
      <c r="D14" s="111"/>
      <c r="E14" s="111"/>
      <c r="F14" s="111"/>
      <c r="G14" s="183"/>
    </row>
    <row r="15" spans="1:8" ht="13.5" thickBot="1" x14ac:dyDescent="0.25">
      <c r="A15" s="180"/>
      <c r="B15" s="178" t="s">
        <v>606</v>
      </c>
      <c r="C15" s="178" t="str">
        <f>+P1Q2</f>
        <v>Right</v>
      </c>
      <c r="D15" s="184"/>
      <c r="E15" s="184"/>
      <c r="F15" s="184"/>
      <c r="G15" s="185"/>
    </row>
    <row r="16" spans="1:8" ht="13.5" thickBot="1" x14ac:dyDescent="0.25"/>
    <row r="17" spans="1:14" x14ac:dyDescent="0.2">
      <c r="A17" s="175" t="s">
        <v>720</v>
      </c>
      <c r="B17" s="181"/>
      <c r="C17" s="181"/>
      <c r="D17" s="181"/>
      <c r="E17" s="181"/>
      <c r="F17" s="181"/>
      <c r="G17" s="182"/>
      <c r="H17" s="1001" t="s">
        <v>407</v>
      </c>
      <c r="I17" s="1002"/>
      <c r="J17" s="1003"/>
    </row>
    <row r="18" spans="1:14" x14ac:dyDescent="0.2">
      <c r="A18" s="179" t="s">
        <v>445</v>
      </c>
      <c r="B18" s="50" t="s">
        <v>607</v>
      </c>
      <c r="C18" s="50" t="str">
        <f>+P2Q1</f>
        <v>AC</v>
      </c>
      <c r="D18" s="111"/>
      <c r="E18" s="111"/>
      <c r="F18" s="111"/>
      <c r="G18" s="183"/>
      <c r="H18" s="179" t="s">
        <v>412</v>
      </c>
      <c r="I18" s="440">
        <v>0</v>
      </c>
      <c r="J18" s="183"/>
    </row>
    <row r="19" spans="1:14" x14ac:dyDescent="0.2">
      <c r="A19" s="179" t="s">
        <v>446</v>
      </c>
      <c r="B19" s="50" t="s">
        <v>608</v>
      </c>
      <c r="C19" s="267" t="s">
        <v>704</v>
      </c>
      <c r="D19" s="111"/>
      <c r="E19" s="111"/>
      <c r="F19" s="111"/>
      <c r="G19" s="183"/>
      <c r="H19" s="179" t="s">
        <v>408</v>
      </c>
      <c r="I19" s="440">
        <f>IF(AND(P1Q1="Head",p0q3&gt;75),1,0)</f>
        <v>0</v>
      </c>
      <c r="J19" s="183" t="s">
        <v>409</v>
      </c>
    </row>
    <row r="20" spans="1:14" x14ac:dyDescent="0.2">
      <c r="A20" s="179"/>
      <c r="B20" s="111"/>
      <c r="C20" s="111"/>
      <c r="D20" s="111"/>
      <c r="H20" s="179" t="s">
        <v>411</v>
      </c>
      <c r="I20" s="440">
        <f>IF(AND(P1Q1="Center",p0q3&gt;30),1,0)</f>
        <v>0</v>
      </c>
      <c r="J20" s="183" t="s">
        <v>410</v>
      </c>
    </row>
    <row r="21" spans="1:14" x14ac:dyDescent="0.2">
      <c r="A21" s="179"/>
      <c r="B21" s="111"/>
      <c r="C21" s="111"/>
      <c r="D21" s="111"/>
      <c r="E21" s="93" t="str">
        <f>IF(P2Q1=0,"BC",+P2Q1)</f>
        <v>AC</v>
      </c>
      <c r="F21" s="111"/>
      <c r="G21" s="177" t="s">
        <v>1158</v>
      </c>
      <c r="H21" s="179" t="s">
        <v>447</v>
      </c>
      <c r="I21" s="440">
        <f>IF(P0Q4&gt;80,1,0)</f>
        <v>0</v>
      </c>
      <c r="J21" s="183" t="s">
        <v>1888</v>
      </c>
    </row>
    <row r="22" spans="1:14" ht="13.5" thickBot="1" x14ac:dyDescent="0.25">
      <c r="A22" s="180"/>
      <c r="B22" s="184"/>
      <c r="C22" s="184"/>
      <c r="D22" s="184"/>
      <c r="E22" s="305">
        <f>+P2Q2</f>
        <v>0</v>
      </c>
      <c r="F22" s="184"/>
      <c r="G22" s="187" t="s">
        <v>818</v>
      </c>
      <c r="H22" s="441"/>
      <c r="I22" s="442">
        <f>IF(SUM(I18:I21)&gt;0,1,0)</f>
        <v>0</v>
      </c>
      <c r="J22" s="187" t="s">
        <v>757</v>
      </c>
    </row>
    <row r="23" spans="1:14" ht="13.5" thickBot="1" x14ac:dyDescent="0.25">
      <c r="H23" s="111"/>
      <c r="I23" s="111"/>
      <c r="J23" s="111"/>
    </row>
    <row r="24" spans="1:14" x14ac:dyDescent="0.2">
      <c r="A24" s="175" t="s">
        <v>721</v>
      </c>
      <c r="B24" s="181"/>
      <c r="C24" s="181"/>
      <c r="D24" s="181"/>
      <c r="E24" s="181" t="s">
        <v>1167</v>
      </c>
      <c r="F24" s="181"/>
      <c r="G24" s="182"/>
    </row>
    <row r="25" spans="1:14" x14ac:dyDescent="0.2">
      <c r="A25" s="179" t="s">
        <v>609</v>
      </c>
      <c r="B25" s="50" t="s">
        <v>611</v>
      </c>
      <c r="C25" s="279" t="s">
        <v>541</v>
      </c>
      <c r="D25" s="111"/>
      <c r="E25" s="93" t="str">
        <f>IF(p0q1&gt;3000,"Y","N")</f>
        <v>Y</v>
      </c>
      <c r="F25" s="111"/>
      <c r="G25" s="177" t="s">
        <v>1168</v>
      </c>
    </row>
    <row r="26" spans="1:14" x14ac:dyDescent="0.2">
      <c r="A26" s="179" t="s">
        <v>610</v>
      </c>
      <c r="B26" s="267" t="s">
        <v>1914</v>
      </c>
      <c r="C26" s="279" t="s">
        <v>541</v>
      </c>
      <c r="D26" s="111"/>
      <c r="E26" s="111"/>
      <c r="F26" s="111"/>
      <c r="G26" s="183"/>
    </row>
    <row r="27" spans="1:14" ht="13.5" thickBot="1" x14ac:dyDescent="0.25">
      <c r="A27" s="180" t="s">
        <v>1165</v>
      </c>
      <c r="B27" s="305" t="s">
        <v>1166</v>
      </c>
      <c r="C27" s="305" t="str">
        <f>IF(P1Q1="Center","01",IF(P2Q1=0,"BC",+P2Q1))</f>
        <v>AC</v>
      </c>
      <c r="D27" s="184"/>
      <c r="E27" s="305" t="str">
        <f>IF(AND(P1Q1="Center",p0q1&gt;3000),"Y","N")</f>
        <v>N</v>
      </c>
      <c r="F27" s="184"/>
      <c r="G27" s="187" t="s">
        <v>1169</v>
      </c>
    </row>
    <row r="28" spans="1:14" ht="13.5" thickBot="1" x14ac:dyDescent="0.25"/>
    <row r="29" spans="1:14" x14ac:dyDescent="0.2">
      <c r="A29" s="212" t="s">
        <v>722</v>
      </c>
      <c r="B29" s="181"/>
      <c r="C29" s="181"/>
      <c r="D29" s="181"/>
      <c r="E29" s="181"/>
      <c r="F29" s="181"/>
      <c r="G29" s="182"/>
      <c r="H29" s="1001" t="s">
        <v>640</v>
      </c>
      <c r="I29" s="1002"/>
      <c r="J29" s="1018"/>
      <c r="K29" s="1001" t="s">
        <v>1220</v>
      </c>
      <c r="L29" s="1002"/>
      <c r="M29" s="1002"/>
      <c r="N29" s="1003"/>
    </row>
    <row r="30" spans="1:14" x14ac:dyDescent="0.2">
      <c r="A30" s="179" t="s">
        <v>471</v>
      </c>
      <c r="B30" s="50" t="s">
        <v>627</v>
      </c>
      <c r="C30" s="186" t="str">
        <f>+P6Q10</f>
        <v>460445</v>
      </c>
      <c r="D30" s="111"/>
      <c r="E30" s="111"/>
      <c r="F30" s="111"/>
      <c r="G30" s="183"/>
      <c r="H30" s="176"/>
      <c r="K30" s="176"/>
      <c r="N30" s="88"/>
    </row>
    <row r="31" spans="1:14" x14ac:dyDescent="0.2">
      <c r="A31" s="179" t="s">
        <v>619</v>
      </c>
      <c r="B31" s="111"/>
      <c r="C31" s="93" t="str">
        <f>VLOOKUP(P6Q10,BeltQuoteRange,4,FALSE)</f>
        <v>"Yushin Blue"</v>
      </c>
      <c r="D31" s="111"/>
      <c r="E31" s="111"/>
      <c r="F31" s="111"/>
      <c r="G31" s="177" t="s">
        <v>620</v>
      </c>
      <c r="H31" s="176" t="s">
        <v>567</v>
      </c>
      <c r="I31" s="93">
        <f>IF(P0Q2&gt;600,+P0Q2-15,+P0Q2-10)</f>
        <v>785</v>
      </c>
      <c r="J31" s="233" t="s">
        <v>1218</v>
      </c>
      <c r="K31" s="786" t="s">
        <v>2328</v>
      </c>
      <c r="M31" s="310" t="str">
        <f>IF(P6Q10=0," ",+"This is a "&amp;quote3&amp;", "&amp;quote4&amp;" belt.")</f>
        <v>This is a "Yushin Blue", Urethane belt.</v>
      </c>
      <c r="N31" s="177" t="s">
        <v>1221</v>
      </c>
    </row>
    <row r="32" spans="1:14" x14ac:dyDescent="0.2">
      <c r="A32" s="179" t="s">
        <v>624</v>
      </c>
      <c r="B32" s="111"/>
      <c r="C32" s="93" t="str">
        <f>VLOOKUP(P6Q10,BeltQuoteRange,3,FALSE)</f>
        <v>Urethane</v>
      </c>
      <c r="D32" s="111"/>
      <c r="E32" s="111"/>
      <c r="F32" s="111"/>
      <c r="G32" s="177" t="s">
        <v>625</v>
      </c>
      <c r="H32" s="176" t="s">
        <v>1066</v>
      </c>
      <c r="I32" s="93">
        <f>IF(P1Q1="Head",+p0q1*2+60,+p0q1*2+194)</f>
        <v>6765.6</v>
      </c>
      <c r="J32" s="233" t="s">
        <v>1219</v>
      </c>
      <c r="K32" s="176"/>
      <c r="M32" s="310" t="str">
        <f>IF(P6Q10=0," ",+quote65&amp;" mm ( "&amp;(ROUND(quote2-(10/25.4),2))&amp;" in )")</f>
        <v>785 mm ( 31.11 in )</v>
      </c>
      <c r="N32" s="177" t="s">
        <v>1222</v>
      </c>
    </row>
    <row r="33" spans="1:14" ht="13.5" thickBot="1" x14ac:dyDescent="0.25">
      <c r="A33" s="180" t="s">
        <v>911</v>
      </c>
      <c r="B33" s="184"/>
      <c r="C33" s="213">
        <f>VLOOKUP(P6Q10,BeltRangePrice,26,FALSE)</f>
        <v>0.66</v>
      </c>
      <c r="D33" s="184"/>
      <c r="E33" s="184"/>
      <c r="F33" s="184"/>
      <c r="G33" s="187" t="s">
        <v>747</v>
      </c>
      <c r="H33" s="276"/>
      <c r="I33" s="89"/>
      <c r="J33" s="89"/>
      <c r="K33" s="276"/>
      <c r="L33" s="89" t="s">
        <v>951</v>
      </c>
      <c r="M33" s="311" t="str">
        <f>IF(P6Q10=0," ",+quote65&amp;" mm wide x "&amp;+ROUND(quote66,0)&amp;" mm OAL ")</f>
        <v xml:space="preserve">785 mm wide x 6766 mm OAL </v>
      </c>
      <c r="N33" s="187" t="s">
        <v>1223</v>
      </c>
    </row>
    <row r="34" spans="1:14" ht="13.5" thickBot="1" x14ac:dyDescent="0.25"/>
    <row r="35" spans="1:14" x14ac:dyDescent="0.2">
      <c r="A35" s="175" t="s">
        <v>723</v>
      </c>
      <c r="B35" s="181"/>
      <c r="C35" s="181"/>
      <c r="D35" s="181"/>
      <c r="E35" s="181"/>
      <c r="F35" s="181"/>
      <c r="G35" s="182"/>
    </row>
    <row r="36" spans="1:14" x14ac:dyDescent="0.2">
      <c r="A36" s="179" t="s">
        <v>447</v>
      </c>
      <c r="B36" s="50" t="s">
        <v>574</v>
      </c>
      <c r="C36" s="50">
        <f>+P0Q4</f>
        <v>18.288222384784198</v>
      </c>
      <c r="D36" s="111" t="s">
        <v>505</v>
      </c>
      <c r="E36" s="97">
        <f>+C36*3.2808</f>
        <v>60</v>
      </c>
      <c r="F36" s="111" t="s">
        <v>364</v>
      </c>
      <c r="G36" s="177" t="s">
        <v>599</v>
      </c>
    </row>
    <row r="37" spans="1:14" ht="13.5" thickBot="1" x14ac:dyDescent="0.25">
      <c r="A37" s="180" t="s">
        <v>631</v>
      </c>
      <c r="B37" s="178" t="s">
        <v>575</v>
      </c>
      <c r="C37" s="178" t="str">
        <f>+P0Q5</f>
        <v>Variable</v>
      </c>
      <c r="D37" s="184"/>
      <c r="E37" s="184"/>
      <c r="F37" s="184"/>
      <c r="G37" s="185"/>
    </row>
    <row r="38" spans="1:14" ht="13.5" thickBot="1" x14ac:dyDescent="0.25"/>
    <row r="39" spans="1:14" x14ac:dyDescent="0.2">
      <c r="A39" s="175" t="s">
        <v>724</v>
      </c>
      <c r="B39" s="181"/>
      <c r="C39" s="181"/>
      <c r="D39" s="181"/>
      <c r="E39" s="181"/>
      <c r="F39" s="181"/>
      <c r="G39" s="182"/>
    </row>
    <row r="40" spans="1:14" x14ac:dyDescent="0.2">
      <c r="A40" s="179" t="s">
        <v>571</v>
      </c>
      <c r="B40" s="50" t="s">
        <v>572</v>
      </c>
      <c r="C40" s="50">
        <f>+p0q3</f>
        <v>27.27272727272727</v>
      </c>
      <c r="D40" s="111" t="s">
        <v>311</v>
      </c>
      <c r="E40" s="97">
        <f>+C40*2.2</f>
        <v>60</v>
      </c>
      <c r="F40" s="111" t="s">
        <v>573</v>
      </c>
      <c r="G40" s="177" t="s">
        <v>600</v>
      </c>
    </row>
    <row r="41" spans="1:14" ht="13.5" thickBot="1" x14ac:dyDescent="0.25">
      <c r="A41" s="180" t="s">
        <v>451</v>
      </c>
      <c r="B41" s="178" t="s">
        <v>492</v>
      </c>
      <c r="C41" s="178" t="str">
        <f>+P6Q8</f>
        <v>No</v>
      </c>
      <c r="D41" s="184"/>
      <c r="E41" s="184"/>
      <c r="F41" s="184"/>
      <c r="G41" s="185"/>
    </row>
    <row r="42" spans="1:14" ht="13.5" thickBot="1" x14ac:dyDescent="0.25"/>
    <row r="43" spans="1:14" ht="13.5" thickBot="1" x14ac:dyDescent="0.25">
      <c r="A43" s="175" t="s">
        <v>725</v>
      </c>
      <c r="B43" s="181"/>
      <c r="C43" s="181"/>
      <c r="D43" s="181"/>
      <c r="E43" s="181"/>
      <c r="F43" s="181"/>
      <c r="G43" s="182"/>
      <c r="H43" s="1019" t="s">
        <v>640</v>
      </c>
      <c r="I43" s="1002"/>
      <c r="J43" s="1003"/>
      <c r="K43" s="1020" t="s">
        <v>726</v>
      </c>
      <c r="L43" s="1021"/>
      <c r="M43" s="1021"/>
      <c r="N43" s="1022"/>
    </row>
    <row r="44" spans="1:14" x14ac:dyDescent="0.2">
      <c r="A44" s="188" t="s">
        <v>580</v>
      </c>
      <c r="B44" s="50" t="s">
        <v>579</v>
      </c>
      <c r="C44" s="50" t="str">
        <f>+p0q8</f>
        <v>Adjustable</v>
      </c>
      <c r="D44" s="128"/>
      <c r="E44" s="111"/>
      <c r="F44" s="111"/>
      <c r="G44" s="183"/>
      <c r="H44" s="111" t="s">
        <v>638</v>
      </c>
      <c r="I44" s="98" t="str">
        <f>IF(p0q8="No",0,IF(p0q8="Fixed",+P7Q1,"HSF03"))</f>
        <v>HSF03</v>
      </c>
      <c r="J44" s="232" t="s">
        <v>601</v>
      </c>
      <c r="K44" s="234"/>
      <c r="L44" s="181" t="s">
        <v>540</v>
      </c>
      <c r="M44" s="181"/>
      <c r="N44" s="182"/>
    </row>
    <row r="45" spans="1:14" x14ac:dyDescent="0.2">
      <c r="A45" s="190" t="s">
        <v>582</v>
      </c>
      <c r="B45" s="50"/>
      <c r="C45" s="50"/>
      <c r="D45" s="111"/>
      <c r="E45" s="111"/>
      <c r="F45" s="111"/>
      <c r="G45" s="183"/>
      <c r="H45" s="112" t="s">
        <v>2054</v>
      </c>
      <c r="I45" s="98">
        <v>21</v>
      </c>
      <c r="J45" s="232" t="s">
        <v>1336</v>
      </c>
      <c r="K45" s="179" t="s">
        <v>604</v>
      </c>
      <c r="L45" s="96">
        <v>0</v>
      </c>
      <c r="M45" s="111"/>
      <c r="N45" s="183"/>
    </row>
    <row r="46" spans="1:14" x14ac:dyDescent="0.2">
      <c r="A46" s="190"/>
      <c r="B46" s="111"/>
      <c r="C46" s="111"/>
      <c r="D46" s="111"/>
      <c r="E46" s="111"/>
      <c r="F46" s="111"/>
      <c r="G46" s="183"/>
      <c r="H46" s="111" t="s">
        <v>642</v>
      </c>
      <c r="I46" s="93">
        <f>+P7Q2+P7Q5</f>
        <v>0</v>
      </c>
      <c r="J46" s="233" t="s">
        <v>603</v>
      </c>
      <c r="K46" s="179" t="s">
        <v>643</v>
      </c>
      <c r="L46" s="96">
        <v>0</v>
      </c>
      <c r="M46" s="93" t="s">
        <v>2183</v>
      </c>
      <c r="N46" s="177" t="s">
        <v>602</v>
      </c>
    </row>
    <row r="47" spans="1:14" x14ac:dyDescent="0.2">
      <c r="A47" s="190" t="s">
        <v>635</v>
      </c>
      <c r="B47" s="50" t="s">
        <v>636</v>
      </c>
      <c r="C47" s="50">
        <f>+P7Q1</f>
        <v>0</v>
      </c>
      <c r="D47" s="998"/>
      <c r="E47" s="999"/>
      <c r="F47" s="999"/>
      <c r="G47" s="1000"/>
      <c r="K47" s="179" t="s">
        <v>545</v>
      </c>
      <c r="L47" s="96">
        <v>0</v>
      </c>
      <c r="M47" s="111"/>
      <c r="N47" s="183"/>
    </row>
    <row r="48" spans="1:14" x14ac:dyDescent="0.2">
      <c r="A48" s="621" t="s">
        <v>653</v>
      </c>
      <c r="B48" s="267" t="s">
        <v>2046</v>
      </c>
      <c r="C48" s="50">
        <f>+P7Q2+P7Q5</f>
        <v>0</v>
      </c>
      <c r="D48" s="111"/>
      <c r="E48" s="111"/>
      <c r="F48" s="111"/>
      <c r="G48" s="183"/>
      <c r="H48" t="s">
        <v>1135</v>
      </c>
      <c r="I48" s="96">
        <f>+BOM!S11</f>
        <v>3262.8</v>
      </c>
      <c r="K48" s="179" t="s">
        <v>544</v>
      </c>
      <c r="L48" s="96">
        <v>0</v>
      </c>
      <c r="M48" s="111"/>
      <c r="N48" s="183"/>
    </row>
    <row r="49" spans="1:14" x14ac:dyDescent="0.2">
      <c r="A49" s="111" t="s">
        <v>937</v>
      </c>
      <c r="B49" s="50" t="s">
        <v>1143</v>
      </c>
      <c r="C49" s="50">
        <v>2</v>
      </c>
      <c r="E49" s="111"/>
      <c r="F49" s="111"/>
      <c r="G49" s="183"/>
      <c r="H49" s="112" t="s">
        <v>1066</v>
      </c>
      <c r="I49" s="96">
        <f>+p0q1</f>
        <v>3352.8</v>
      </c>
      <c r="J49" s="111"/>
      <c r="K49" s="179"/>
      <c r="L49" s="111"/>
      <c r="M49" s="111"/>
      <c r="N49" s="183"/>
    </row>
    <row r="50" spans="1:14" x14ac:dyDescent="0.2">
      <c r="A50" s="111"/>
      <c r="B50" s="111"/>
      <c r="C50" s="111"/>
      <c r="D50" s="111"/>
      <c r="E50" s="111"/>
      <c r="F50" s="111"/>
      <c r="G50" s="183"/>
      <c r="H50" s="111"/>
      <c r="I50" s="93">
        <f>IF(P7Q1="SF1.3",+I48,+I49)</f>
        <v>3352.8</v>
      </c>
      <c r="J50" s="233" t="s">
        <v>1160</v>
      </c>
      <c r="M50" s="111"/>
      <c r="N50" s="183"/>
    </row>
    <row r="51" spans="1:14" x14ac:dyDescent="0.2">
      <c r="A51" s="179"/>
      <c r="B51" s="111"/>
      <c r="C51" s="111"/>
      <c r="D51" s="111"/>
      <c r="E51" s="111"/>
      <c r="F51" s="111"/>
      <c r="G51" s="183"/>
      <c r="H51" s="111"/>
      <c r="I51" s="111"/>
      <c r="J51" s="111"/>
      <c r="K51" s="179"/>
      <c r="L51" s="111"/>
      <c r="M51" s="111"/>
      <c r="N51" s="183"/>
    </row>
    <row r="52" spans="1:14" x14ac:dyDescent="0.2">
      <c r="A52" s="179"/>
      <c r="E52" s="111"/>
      <c r="F52" s="111"/>
      <c r="G52" s="183"/>
      <c r="H52" s="111"/>
      <c r="I52" s="111"/>
      <c r="J52" s="111"/>
      <c r="K52" s="179"/>
      <c r="L52" s="111"/>
      <c r="M52" s="111"/>
      <c r="N52" s="183"/>
    </row>
    <row r="53" spans="1:14" x14ac:dyDescent="0.2">
      <c r="A53" s="179" t="s">
        <v>785</v>
      </c>
      <c r="B53" s="111"/>
      <c r="C53" s="93">
        <f>+P7EffectiveWidth</f>
        <v>0</v>
      </c>
      <c r="D53" s="111"/>
      <c r="E53" s="111"/>
      <c r="F53" s="111"/>
      <c r="G53" s="177" t="s">
        <v>786</v>
      </c>
      <c r="H53" s="111"/>
      <c r="I53" s="111"/>
      <c r="J53" s="111"/>
      <c r="K53" s="179" t="s">
        <v>788</v>
      </c>
      <c r="L53" s="1006" t="str">
        <f>"Lane width adjustable from "&amp;HMin&amp;" mm to "&amp;HMax&amp;" mm"</f>
        <v>Lane width adjustable from 660 mm to 860 mm</v>
      </c>
      <c r="M53" s="1007"/>
      <c r="N53" s="177" t="s">
        <v>644</v>
      </c>
    </row>
    <row r="54" spans="1:14" x14ac:dyDescent="0.2">
      <c r="A54" s="179"/>
      <c r="B54" s="111"/>
      <c r="C54" s="111"/>
      <c r="D54" s="111"/>
      <c r="E54" s="111"/>
      <c r="F54" s="111"/>
      <c r="G54" s="183"/>
      <c r="H54" s="111"/>
      <c r="I54" s="111"/>
      <c r="J54" s="111"/>
      <c r="K54" s="179"/>
      <c r="L54" s="111"/>
      <c r="M54" s="111"/>
      <c r="N54" s="183"/>
    </row>
    <row r="55" spans="1:14" x14ac:dyDescent="0.2">
      <c r="A55" s="190" t="s">
        <v>528</v>
      </c>
      <c r="B55" s="50" t="s">
        <v>637</v>
      </c>
      <c r="C55" s="50">
        <v>0</v>
      </c>
      <c r="D55" s="111"/>
      <c r="E55" s="111"/>
      <c r="F55" s="111"/>
      <c r="G55" s="183"/>
      <c r="H55" s="111"/>
      <c r="I55" s="111"/>
      <c r="J55" s="111"/>
      <c r="K55" s="179"/>
      <c r="L55" s="111"/>
      <c r="M55" s="111"/>
      <c r="N55" s="183"/>
    </row>
    <row r="56" spans="1:14" x14ac:dyDescent="0.2">
      <c r="A56" s="179" t="s">
        <v>604</v>
      </c>
      <c r="B56" s="131"/>
      <c r="C56" s="50">
        <v>0</v>
      </c>
      <c r="D56" s="111"/>
      <c r="E56" s="111"/>
      <c r="F56" s="111"/>
      <c r="G56" s="177" t="s">
        <v>1339</v>
      </c>
      <c r="H56" s="111"/>
      <c r="I56" s="111"/>
      <c r="J56" s="111"/>
      <c r="K56" s="179"/>
      <c r="L56" s="111"/>
      <c r="M56" s="111"/>
      <c r="N56" s="183"/>
    </row>
    <row r="57" spans="1:14" x14ac:dyDescent="0.2">
      <c r="A57" s="179" t="s">
        <v>1337</v>
      </c>
      <c r="B57" s="111"/>
      <c r="C57" s="50">
        <v>0</v>
      </c>
      <c r="D57" s="111"/>
      <c r="E57" s="111"/>
      <c r="F57" s="111"/>
      <c r="G57" s="177" t="s">
        <v>1334</v>
      </c>
      <c r="H57" s="111"/>
      <c r="I57" s="111"/>
      <c r="J57" s="111"/>
      <c r="K57" s="179"/>
      <c r="L57" s="111"/>
      <c r="M57" s="111"/>
      <c r="N57" s="183"/>
    </row>
    <row r="58" spans="1:14" x14ac:dyDescent="0.2">
      <c r="A58" s="179" t="s">
        <v>1338</v>
      </c>
      <c r="B58" s="111"/>
      <c r="C58" s="50">
        <v>0</v>
      </c>
      <c r="D58" s="111"/>
      <c r="E58" s="111"/>
      <c r="F58" s="111"/>
      <c r="G58" s="177" t="s">
        <v>1335</v>
      </c>
      <c r="H58" s="111"/>
      <c r="I58" s="111"/>
      <c r="J58" s="111"/>
      <c r="K58" s="179" t="s">
        <v>788</v>
      </c>
      <c r="L58" s="1017" t="str">
        <f>+"Effective Lane width: "&amp;+IF(quote34&lt;&gt;0,+quote34&amp;+" mm",+quote73&amp;+" mm (min) to "&amp;+quote72&amp;+" mm (max)")</f>
        <v>Effective Lane width: 0 mm (min) to 0 mm (max)</v>
      </c>
      <c r="M58" s="1017"/>
      <c r="N58" s="177" t="s">
        <v>789</v>
      </c>
    </row>
    <row r="59" spans="1:14" x14ac:dyDescent="0.2">
      <c r="A59" s="179"/>
      <c r="B59" s="111"/>
      <c r="C59" s="477"/>
      <c r="D59" s="111"/>
      <c r="E59" s="111"/>
      <c r="F59" s="111"/>
      <c r="G59" s="478"/>
      <c r="H59" s="111"/>
      <c r="I59" s="111"/>
      <c r="J59" s="111"/>
      <c r="K59" s="179"/>
      <c r="L59" s="477"/>
      <c r="M59" s="477"/>
      <c r="N59" s="478"/>
    </row>
    <row r="60" spans="1:14" x14ac:dyDescent="0.2">
      <c r="A60" s="179"/>
      <c r="B60" s="111"/>
      <c r="C60" s="482" t="s">
        <v>1885</v>
      </c>
      <c r="D60" s="483"/>
      <c r="E60" s="480" t="s">
        <v>1884</v>
      </c>
      <c r="F60" s="111"/>
      <c r="G60" s="478"/>
      <c r="H60" s="111" t="s">
        <v>1887</v>
      </c>
      <c r="I60" s="111"/>
      <c r="J60" s="477"/>
      <c r="K60" s="179"/>
      <c r="L60" s="477"/>
      <c r="M60" s="477"/>
      <c r="N60" s="478"/>
    </row>
    <row r="61" spans="1:14" x14ac:dyDescent="0.2">
      <c r="A61" s="179"/>
      <c r="B61" s="111"/>
      <c r="C61" s="111"/>
      <c r="D61" s="481" t="s">
        <v>697</v>
      </c>
      <c r="E61" s="479">
        <v>100</v>
      </c>
      <c r="F61" s="111"/>
      <c r="G61" s="478"/>
      <c r="H61" s="111"/>
      <c r="I61" s="111" t="s">
        <v>697</v>
      </c>
      <c r="J61" s="477">
        <v>100</v>
      </c>
      <c r="K61" s="179"/>
      <c r="L61" s="477"/>
      <c r="M61" s="477"/>
      <c r="N61" s="478"/>
    </row>
    <row r="62" spans="1:14" x14ac:dyDescent="0.2">
      <c r="A62" s="179"/>
      <c r="B62" s="111"/>
      <c r="C62" s="111"/>
      <c r="D62" s="480" t="s">
        <v>698</v>
      </c>
      <c r="E62" s="479">
        <v>150</v>
      </c>
      <c r="F62" s="111"/>
      <c r="G62" s="478"/>
      <c r="H62" s="111"/>
      <c r="I62" s="111" t="s">
        <v>698</v>
      </c>
      <c r="J62" s="477"/>
      <c r="K62" s="179"/>
      <c r="L62" s="477"/>
      <c r="M62" s="477"/>
      <c r="N62" s="478"/>
    </row>
    <row r="63" spans="1:14" x14ac:dyDescent="0.2">
      <c r="A63" s="179"/>
      <c r="B63" s="111"/>
      <c r="C63" s="111"/>
      <c r="D63" s="480" t="s">
        <v>1883</v>
      </c>
      <c r="E63" s="479">
        <v>150</v>
      </c>
      <c r="F63" s="111"/>
      <c r="G63" s="478"/>
      <c r="H63" s="111"/>
      <c r="I63" s="111" t="s">
        <v>1883</v>
      </c>
      <c r="J63" s="477"/>
      <c r="K63" s="179"/>
      <c r="L63" s="477"/>
      <c r="M63" s="477"/>
      <c r="N63" s="478"/>
    </row>
    <row r="64" spans="1:14" x14ac:dyDescent="0.2">
      <c r="A64" s="179"/>
      <c r="B64" s="111"/>
      <c r="C64" s="111"/>
      <c r="D64" s="480" t="s">
        <v>699</v>
      </c>
      <c r="E64" s="479">
        <v>100</v>
      </c>
      <c r="F64" s="111"/>
      <c r="G64" s="478"/>
      <c r="H64" s="111"/>
      <c r="I64" s="111" t="s">
        <v>699</v>
      </c>
      <c r="J64" s="477"/>
      <c r="K64" s="179"/>
      <c r="L64" s="477"/>
      <c r="M64" s="477"/>
      <c r="N64" s="478"/>
    </row>
    <row r="65" spans="1:14" x14ac:dyDescent="0.2">
      <c r="A65" s="179"/>
      <c r="B65" s="111"/>
      <c r="C65" s="111"/>
      <c r="D65" s="480" t="s">
        <v>691</v>
      </c>
      <c r="E65" s="479">
        <v>475</v>
      </c>
      <c r="F65" s="111"/>
      <c r="G65" s="478"/>
      <c r="H65" s="111"/>
      <c r="I65" s="111" t="s">
        <v>691</v>
      </c>
      <c r="J65" s="477"/>
      <c r="K65" s="179"/>
      <c r="L65" s="477"/>
      <c r="M65" s="477"/>
      <c r="N65" s="478"/>
    </row>
    <row r="66" spans="1:14" x14ac:dyDescent="0.2">
      <c r="A66" s="179"/>
      <c r="B66" s="111"/>
      <c r="C66" s="111"/>
      <c r="D66" s="480" t="s">
        <v>702</v>
      </c>
      <c r="E66" s="479">
        <v>255</v>
      </c>
      <c r="F66" s="111"/>
      <c r="G66" s="478"/>
      <c r="H66" s="111"/>
      <c r="I66" s="111" t="s">
        <v>702</v>
      </c>
      <c r="J66" s="477"/>
      <c r="K66" s="179"/>
      <c r="L66" s="477"/>
      <c r="M66" s="477"/>
      <c r="N66" s="478"/>
    </row>
    <row r="67" spans="1:14" x14ac:dyDescent="0.2">
      <c r="A67" s="179"/>
      <c r="B67" s="111"/>
      <c r="C67" s="111"/>
      <c r="D67" s="480" t="s">
        <v>701</v>
      </c>
      <c r="E67" s="479" t="s">
        <v>1886</v>
      </c>
      <c r="F67" s="111"/>
      <c r="G67" s="478"/>
      <c r="H67" s="111"/>
      <c r="I67" s="111" t="s">
        <v>701</v>
      </c>
      <c r="J67" s="477"/>
      <c r="K67" s="179"/>
      <c r="L67" s="477"/>
      <c r="M67" s="477"/>
      <c r="N67" s="478"/>
    </row>
    <row r="68" spans="1:14" x14ac:dyDescent="0.2">
      <c r="A68" s="179"/>
      <c r="B68" s="111"/>
      <c r="C68" s="111"/>
      <c r="D68" s="480" t="s">
        <v>541</v>
      </c>
      <c r="E68" s="479">
        <v>100</v>
      </c>
      <c r="F68" s="111"/>
      <c r="G68" s="478"/>
      <c r="H68" s="111"/>
      <c r="I68" s="111" t="s">
        <v>703</v>
      </c>
      <c r="J68" s="477"/>
      <c r="K68" s="179"/>
      <c r="L68" s="477"/>
      <c r="M68" s="477"/>
      <c r="N68" s="478"/>
    </row>
    <row r="69" spans="1:14" x14ac:dyDescent="0.2">
      <c r="A69" s="179"/>
      <c r="B69" s="111"/>
      <c r="C69" s="111"/>
      <c r="D69" s="480" t="s">
        <v>695</v>
      </c>
      <c r="E69" s="479">
        <v>100</v>
      </c>
      <c r="F69" s="111"/>
      <c r="G69" s="478"/>
      <c r="H69" s="111"/>
      <c r="I69" s="111" t="s">
        <v>705</v>
      </c>
      <c r="J69" s="477"/>
      <c r="K69" s="179"/>
      <c r="L69" s="477"/>
      <c r="M69" s="477"/>
      <c r="N69" s="478"/>
    </row>
    <row r="70" spans="1:14" x14ac:dyDescent="0.2">
      <c r="A70" s="179"/>
      <c r="B70" s="111"/>
      <c r="C70" s="111"/>
      <c r="D70" s="480" t="s">
        <v>542</v>
      </c>
      <c r="E70" s="479">
        <v>80</v>
      </c>
      <c r="F70" s="111"/>
      <c r="G70" s="478"/>
      <c r="H70" s="111"/>
      <c r="I70" s="111" t="s">
        <v>704</v>
      </c>
      <c r="J70" s="477"/>
      <c r="K70" s="179"/>
      <c r="L70" s="477"/>
      <c r="M70" s="477"/>
      <c r="N70" s="478"/>
    </row>
    <row r="71" spans="1:14" x14ac:dyDescent="0.2">
      <c r="A71" s="179"/>
      <c r="B71" s="111"/>
      <c r="C71" s="477"/>
      <c r="D71" s="480" t="s">
        <v>656</v>
      </c>
      <c r="E71" s="117">
        <v>100</v>
      </c>
      <c r="F71" s="111"/>
      <c r="G71" s="478"/>
      <c r="H71" s="111"/>
      <c r="I71" s="111"/>
      <c r="J71" s="111"/>
      <c r="K71" s="179"/>
      <c r="L71" s="477"/>
      <c r="M71" s="477"/>
      <c r="N71" s="478"/>
    </row>
    <row r="72" spans="1:14" x14ac:dyDescent="0.2">
      <c r="A72" s="179"/>
      <c r="B72" s="111"/>
      <c r="C72" s="477"/>
      <c r="D72" s="480" t="s">
        <v>710</v>
      </c>
      <c r="E72" s="117">
        <v>100</v>
      </c>
      <c r="F72" s="111"/>
      <c r="G72" s="478"/>
      <c r="H72" s="111"/>
      <c r="I72" s="111"/>
      <c r="J72" s="111"/>
      <c r="K72" s="179"/>
      <c r="L72" s="477"/>
      <c r="M72" s="477"/>
      <c r="N72" s="478"/>
    </row>
    <row r="73" spans="1:14" x14ac:dyDescent="0.2">
      <c r="A73" s="179"/>
      <c r="B73" s="111"/>
      <c r="C73" s="477"/>
      <c r="D73" s="480" t="s">
        <v>711</v>
      </c>
      <c r="E73" s="117">
        <v>100</v>
      </c>
      <c r="F73" s="111"/>
      <c r="G73" s="478"/>
      <c r="H73" s="111"/>
      <c r="I73" s="111"/>
      <c r="J73" s="111"/>
      <c r="K73" s="179"/>
      <c r="L73" s="477"/>
      <c r="M73" s="477"/>
      <c r="N73" s="478"/>
    </row>
    <row r="74" spans="1:14" x14ac:dyDescent="0.2">
      <c r="A74" s="179"/>
      <c r="B74" s="111"/>
      <c r="C74" s="477"/>
      <c r="D74" s="111"/>
      <c r="E74" s="111"/>
      <c r="F74" s="111"/>
      <c r="G74" s="478"/>
      <c r="H74" s="111"/>
      <c r="I74" s="111"/>
      <c r="J74" s="111"/>
      <c r="K74" s="179"/>
      <c r="L74" s="477"/>
      <c r="M74" s="477"/>
      <c r="N74" s="478"/>
    </row>
    <row r="75" spans="1:14" x14ac:dyDescent="0.2">
      <c r="A75" s="179"/>
      <c r="B75" s="111"/>
      <c r="C75" s="477"/>
      <c r="D75" s="111"/>
      <c r="E75" s="111"/>
      <c r="F75" s="111"/>
      <c r="G75" s="478"/>
      <c r="H75" s="111"/>
      <c r="I75" s="111"/>
      <c r="J75" s="111"/>
      <c r="K75" s="179"/>
      <c r="L75" s="477"/>
      <c r="M75" s="477"/>
      <c r="N75" s="478"/>
    </row>
    <row r="76" spans="1:14" x14ac:dyDescent="0.2">
      <c r="A76" s="179"/>
      <c r="B76" s="111"/>
      <c r="C76" s="477"/>
      <c r="D76" s="111"/>
      <c r="E76" s="111"/>
      <c r="F76" s="111"/>
      <c r="G76" s="478"/>
      <c r="H76" s="111"/>
      <c r="I76" s="111"/>
      <c r="J76" s="111"/>
      <c r="K76" s="179"/>
      <c r="L76" s="477"/>
      <c r="M76" s="477"/>
      <c r="N76" s="478"/>
    </row>
    <row r="77" spans="1:14" ht="13.5" thickBot="1" x14ac:dyDescent="0.25">
      <c r="A77" s="180"/>
      <c r="B77" s="184"/>
      <c r="C77" s="184"/>
      <c r="D77" s="184"/>
      <c r="E77" s="184"/>
      <c r="F77" s="184"/>
      <c r="G77" s="185"/>
      <c r="H77" s="184"/>
      <c r="I77" s="184"/>
      <c r="J77" s="184"/>
      <c r="K77" s="180"/>
      <c r="L77" s="184"/>
      <c r="M77" s="184"/>
      <c r="N77" s="185"/>
    </row>
    <row r="78" spans="1:14" ht="13.5" thickBot="1" x14ac:dyDescent="0.25">
      <c r="A78" s="477"/>
      <c r="B78" s="477"/>
      <c r="C78" s="477"/>
      <c r="D78" s="477"/>
      <c r="E78" s="477"/>
      <c r="F78" s="477"/>
      <c r="G78" s="477"/>
      <c r="H78" s="477"/>
      <c r="I78" s="477"/>
      <c r="J78" s="477"/>
      <c r="K78" s="477"/>
      <c r="L78" s="477"/>
      <c r="M78" s="477"/>
      <c r="N78" s="477"/>
    </row>
    <row r="79" spans="1:14" x14ac:dyDescent="0.2">
      <c r="A79" s="175" t="s">
        <v>1950</v>
      </c>
      <c r="B79" s="554" t="s">
        <v>1948</v>
      </c>
      <c r="C79" s="554"/>
      <c r="D79" s="554"/>
      <c r="E79" s="554"/>
      <c r="F79" s="554"/>
      <c r="G79" s="554"/>
      <c r="H79" s="554"/>
      <c r="I79" s="554"/>
      <c r="J79" s="554"/>
      <c r="K79" s="554"/>
      <c r="L79" s="554"/>
      <c r="M79" s="554"/>
      <c r="N79" s="555"/>
    </row>
    <row r="80" spans="1:14" ht="13.5" thickBot="1" x14ac:dyDescent="0.25">
      <c r="A80" s="556" t="s">
        <v>1949</v>
      </c>
      <c r="B80" s="477"/>
      <c r="C80" s="477"/>
      <c r="D80" s="477"/>
      <c r="E80" s="477"/>
      <c r="F80" s="477"/>
      <c r="G80" s="477"/>
      <c r="H80" s="477"/>
      <c r="I80" s="477"/>
      <c r="J80" s="477"/>
      <c r="K80" s="477"/>
      <c r="L80" s="477"/>
      <c r="M80" s="477"/>
      <c r="N80" s="478"/>
    </row>
    <row r="81" spans="1:14" x14ac:dyDescent="0.2">
      <c r="A81" s="556" t="s">
        <v>1951</v>
      </c>
      <c r="B81" s="477"/>
      <c r="C81" s="477"/>
      <c r="D81" s="477"/>
      <c r="E81" s="477"/>
      <c r="F81" s="477"/>
      <c r="G81" s="477"/>
      <c r="H81" s="1001" t="s">
        <v>640</v>
      </c>
      <c r="I81" s="1002"/>
      <c r="J81" s="1003"/>
      <c r="K81" s="477"/>
      <c r="L81" s="477"/>
      <c r="M81" s="477"/>
      <c r="N81" s="478"/>
    </row>
    <row r="82" spans="1:14" ht="13.5" thickBot="1" x14ac:dyDescent="0.25">
      <c r="A82" s="557" t="s">
        <v>1135</v>
      </c>
      <c r="B82" s="562" t="s">
        <v>1955</v>
      </c>
      <c r="C82" s="178">
        <f>+BOM_01</f>
        <v>3262.8</v>
      </c>
      <c r="D82" s="558"/>
      <c r="E82" s="558"/>
      <c r="F82" s="558"/>
      <c r="G82" s="558"/>
      <c r="H82" s="522" t="s">
        <v>1953</v>
      </c>
      <c r="I82" s="559">
        <f>ROUNDUP(C82/1220,0)</f>
        <v>3</v>
      </c>
      <c r="J82" s="560" t="s">
        <v>1954</v>
      </c>
      <c r="K82" s="558"/>
      <c r="L82" s="558"/>
      <c r="M82" s="558"/>
      <c r="N82" s="561"/>
    </row>
    <row r="83" spans="1:14" ht="13.5" thickBot="1" x14ac:dyDescent="0.25">
      <c r="A83" s="477"/>
      <c r="B83" s="477"/>
      <c r="C83" s="477"/>
      <c r="D83" s="477"/>
      <c r="E83" s="477"/>
      <c r="F83" s="477"/>
      <c r="G83" s="477"/>
      <c r="H83" s="477"/>
      <c r="I83" s="477"/>
      <c r="J83" s="477"/>
      <c r="K83" s="477"/>
      <c r="L83" s="477"/>
      <c r="M83" s="477"/>
      <c r="N83" s="477"/>
    </row>
    <row r="84" spans="1:14" ht="13.5" thickBot="1" x14ac:dyDescent="0.25">
      <c r="A84" s="175" t="s">
        <v>1952</v>
      </c>
      <c r="B84" s="477" t="s">
        <v>1948</v>
      </c>
      <c r="C84" s="477"/>
      <c r="D84" s="477"/>
      <c r="E84" s="477"/>
      <c r="F84" s="477"/>
      <c r="G84" s="477"/>
      <c r="H84" s="477"/>
      <c r="I84" s="477"/>
      <c r="J84" s="477"/>
      <c r="K84" s="477"/>
      <c r="L84" s="477"/>
      <c r="M84" s="477"/>
      <c r="N84" s="477"/>
    </row>
    <row r="85" spans="1:14" x14ac:dyDescent="0.2">
      <c r="A85" s="477" t="s">
        <v>1949</v>
      </c>
      <c r="B85" s="477"/>
      <c r="C85" s="477"/>
      <c r="D85" s="477"/>
      <c r="E85" s="477"/>
      <c r="F85" s="477"/>
      <c r="G85" s="477"/>
      <c r="H85" s="1001" t="s">
        <v>640</v>
      </c>
      <c r="I85" s="1002"/>
      <c r="J85" s="1003"/>
      <c r="K85" s="477"/>
      <c r="L85" s="477"/>
      <c r="M85" s="477"/>
      <c r="N85" s="477"/>
    </row>
    <row r="86" spans="1:14" ht="13.5" thickBot="1" x14ac:dyDescent="0.25">
      <c r="A86" s="553" t="s">
        <v>1135</v>
      </c>
      <c r="B86" s="267" t="s">
        <v>1955</v>
      </c>
      <c r="C86" s="50">
        <f>+BOM_01</f>
        <v>3262.8</v>
      </c>
      <c r="D86" s="477"/>
      <c r="E86" s="477"/>
      <c r="F86" s="477"/>
      <c r="G86" s="477"/>
      <c r="H86" s="522" t="s">
        <v>1953</v>
      </c>
      <c r="I86" s="559">
        <f>+quote111/C88</f>
        <v>1</v>
      </c>
      <c r="J86" s="288" t="s">
        <v>1959</v>
      </c>
      <c r="K86" s="477"/>
      <c r="L86" s="477"/>
      <c r="M86" s="477"/>
      <c r="N86" s="477"/>
    </row>
    <row r="87" spans="1:14" x14ac:dyDescent="0.2">
      <c r="A87" s="553" t="s">
        <v>1956</v>
      </c>
      <c r="B87" s="477"/>
      <c r="C87" s="479">
        <f>+P7Q2*2+P0Q2</f>
        <v>800</v>
      </c>
      <c r="D87" s="288" t="s">
        <v>1958</v>
      </c>
      <c r="E87" s="477"/>
      <c r="F87" s="477"/>
      <c r="G87" s="477"/>
      <c r="H87" s="477"/>
      <c r="I87" s="477"/>
      <c r="J87" s="477"/>
      <c r="K87" s="477"/>
      <c r="L87" s="477"/>
      <c r="M87" s="477"/>
      <c r="N87" s="477"/>
    </row>
    <row r="88" spans="1:14" x14ac:dyDescent="0.2">
      <c r="A88" s="563" t="s">
        <v>1957</v>
      </c>
      <c r="B88" s="477"/>
      <c r="C88" s="330">
        <f>(ROUNDDOWN(2440/quote112,0))</f>
        <v>3</v>
      </c>
      <c r="D88" s="477"/>
      <c r="E88" s="477"/>
      <c r="F88" s="477"/>
      <c r="G88" s="477"/>
      <c r="H88" s="477"/>
      <c r="I88" s="477"/>
      <c r="J88" s="477"/>
      <c r="K88" s="477"/>
      <c r="L88" s="477"/>
      <c r="M88" s="477"/>
      <c r="N88" s="477"/>
    </row>
    <row r="89" spans="1:14" x14ac:dyDescent="0.2">
      <c r="A89" s="477"/>
      <c r="B89" s="477"/>
      <c r="C89" s="477"/>
      <c r="D89" s="477"/>
      <c r="E89" s="477"/>
      <c r="F89" s="477"/>
      <c r="G89" s="477"/>
      <c r="H89" s="477"/>
      <c r="I89" s="477"/>
      <c r="J89" s="477"/>
      <c r="K89" s="477"/>
      <c r="L89" s="477"/>
      <c r="M89" s="477"/>
      <c r="N89" s="477"/>
    </row>
    <row r="90" spans="1:14" x14ac:dyDescent="0.2">
      <c r="A90" s="477"/>
      <c r="B90" s="477"/>
      <c r="C90" s="477"/>
      <c r="D90" s="477"/>
      <c r="E90" s="477"/>
      <c r="F90" s="477"/>
      <c r="G90" s="477"/>
      <c r="H90" s="477"/>
      <c r="I90" s="477"/>
      <c r="J90" s="477"/>
      <c r="K90" s="477"/>
      <c r="L90" s="477"/>
      <c r="M90" s="477"/>
      <c r="N90" s="477"/>
    </row>
    <row r="91" spans="1:14" ht="13.5" thickBot="1" x14ac:dyDescent="0.25">
      <c r="A91" s="477"/>
      <c r="B91" s="477"/>
      <c r="C91" s="477"/>
      <c r="D91" s="477"/>
      <c r="E91" s="477"/>
      <c r="F91" s="477"/>
      <c r="G91" s="477"/>
      <c r="H91" s="477"/>
      <c r="I91" s="477"/>
      <c r="J91" s="477"/>
      <c r="K91" s="477"/>
      <c r="L91" s="477"/>
      <c r="M91" s="477"/>
      <c r="N91" s="477"/>
    </row>
    <row r="92" spans="1:14" x14ac:dyDescent="0.2">
      <c r="A92" s="175" t="s">
        <v>728</v>
      </c>
      <c r="B92" s="181"/>
      <c r="C92" s="181"/>
      <c r="D92" s="181"/>
      <c r="E92" s="181"/>
      <c r="F92" s="181"/>
      <c r="G92" s="182"/>
      <c r="H92" s="1001" t="s">
        <v>640</v>
      </c>
      <c r="I92" s="1002"/>
      <c r="J92" s="1003"/>
      <c r="K92" s="1001" t="s">
        <v>726</v>
      </c>
      <c r="L92" s="1002"/>
      <c r="M92" s="1002"/>
      <c r="N92" s="1003"/>
    </row>
    <row r="93" spans="1:14" x14ac:dyDescent="0.2">
      <c r="A93" s="179" t="s">
        <v>584</v>
      </c>
      <c r="B93" s="50" t="s">
        <v>583</v>
      </c>
      <c r="C93" s="50" t="str">
        <f>+p0q9</f>
        <v>Yes</v>
      </c>
      <c r="D93" s="189" t="s">
        <v>387</v>
      </c>
      <c r="E93" s="111"/>
      <c r="F93" s="111"/>
      <c r="G93" s="183"/>
      <c r="H93" s="179" t="s">
        <v>596</v>
      </c>
      <c r="I93" s="93">
        <f>IF(p0q9&lt;&gt;"Yes","None",+P10Q3)</f>
        <v>3</v>
      </c>
      <c r="J93" s="177" t="s">
        <v>651</v>
      </c>
      <c r="K93" s="477"/>
      <c r="L93" s="477"/>
      <c r="M93" s="477"/>
      <c r="N93" s="88"/>
    </row>
    <row r="94" spans="1:14" x14ac:dyDescent="0.2">
      <c r="A94" s="179" t="s">
        <v>646</v>
      </c>
      <c r="B94" s="50" t="s">
        <v>555</v>
      </c>
      <c r="C94" s="610">
        <v>55.1</v>
      </c>
      <c r="D94" s="111"/>
      <c r="E94" s="111"/>
      <c r="F94" s="111"/>
      <c r="G94" s="183"/>
      <c r="H94" s="179" t="s">
        <v>638</v>
      </c>
      <c r="I94" s="93" t="str">
        <f>IF(p0q9&lt;&gt;"Yes","None","55.1")</f>
        <v>55.1</v>
      </c>
      <c r="J94" s="177" t="s">
        <v>652</v>
      </c>
      <c r="K94" s="556"/>
      <c r="L94" s="477"/>
      <c r="M94" s="477"/>
      <c r="N94" s="183"/>
    </row>
    <row r="95" spans="1:14" x14ac:dyDescent="0.2">
      <c r="A95" s="179" t="s">
        <v>648</v>
      </c>
      <c r="B95" s="50" t="s">
        <v>649</v>
      </c>
      <c r="C95" s="50">
        <f>+P10Q2</f>
        <v>1168.4000000000001</v>
      </c>
      <c r="D95" s="111"/>
      <c r="E95" s="111"/>
      <c r="F95" s="111"/>
      <c r="G95" s="183"/>
      <c r="H95" s="179" t="s">
        <v>653</v>
      </c>
      <c r="I95" s="93">
        <f>IF(p0q9&lt;&gt;"Yes",0,+P10Q2)</f>
        <v>1168.4000000000001</v>
      </c>
      <c r="J95" s="177" t="s">
        <v>654</v>
      </c>
      <c r="K95" s="179"/>
      <c r="L95" s="111"/>
      <c r="M95" s="111"/>
      <c r="N95" s="183"/>
    </row>
    <row r="96" spans="1:14" x14ac:dyDescent="0.2">
      <c r="A96" s="179" t="s">
        <v>647</v>
      </c>
      <c r="B96" s="50" t="s">
        <v>650</v>
      </c>
      <c r="C96" s="50">
        <f>+P10Q3</f>
        <v>3</v>
      </c>
      <c r="D96" s="111"/>
      <c r="E96" s="111"/>
      <c r="F96" s="111"/>
      <c r="G96" s="183"/>
      <c r="H96" s="525" t="s">
        <v>2027</v>
      </c>
      <c r="I96" s="93">
        <f>IF(P10q8="Y",quote12,0)</f>
        <v>3</v>
      </c>
      <c r="J96" s="177" t="s">
        <v>732</v>
      </c>
      <c r="K96" s="179"/>
      <c r="L96" s="111"/>
      <c r="M96" s="111"/>
      <c r="N96" s="183"/>
    </row>
    <row r="97" spans="1:16" x14ac:dyDescent="0.2">
      <c r="A97" s="179" t="s">
        <v>738</v>
      </c>
      <c r="B97" s="50" t="s">
        <v>730</v>
      </c>
      <c r="C97" s="50" t="str">
        <f>+P10q8</f>
        <v>Y</v>
      </c>
      <c r="D97" s="111"/>
      <c r="E97" s="111"/>
      <c r="F97" s="111"/>
      <c r="G97" s="183"/>
      <c r="H97" s="179" t="s">
        <v>734</v>
      </c>
      <c r="I97" s="93">
        <f>IF(P10q9="Yes",quote12,0)</f>
        <v>0</v>
      </c>
      <c r="J97" s="177" t="s">
        <v>735</v>
      </c>
      <c r="K97" s="179"/>
      <c r="L97" s="111"/>
      <c r="M97" s="111"/>
      <c r="N97" s="183"/>
    </row>
    <row r="98" spans="1:16" x14ac:dyDescent="0.2">
      <c r="A98" s="179" t="s">
        <v>739</v>
      </c>
      <c r="B98" s="50" t="s">
        <v>733</v>
      </c>
      <c r="C98" s="50" t="str">
        <f>+P10q9</f>
        <v>No</v>
      </c>
      <c r="D98" s="111"/>
      <c r="E98" s="111"/>
      <c r="F98" s="111"/>
      <c r="G98" s="183"/>
      <c r="H98" s="525" t="s">
        <v>257</v>
      </c>
      <c r="I98" s="93">
        <f>IF(P10q10="Yes",quote12,0)</f>
        <v>3</v>
      </c>
      <c r="J98" s="526" t="s">
        <v>2029</v>
      </c>
      <c r="K98" s="179"/>
      <c r="L98" s="111"/>
      <c r="M98" s="111"/>
      <c r="N98" s="183"/>
    </row>
    <row r="99" spans="1:16" x14ac:dyDescent="0.2">
      <c r="A99" s="525" t="s">
        <v>655</v>
      </c>
      <c r="B99" s="267" t="s">
        <v>1990</v>
      </c>
      <c r="C99" s="50" t="str">
        <f>+P10q10</f>
        <v>Yes</v>
      </c>
      <c r="D99" s="111"/>
      <c r="E99" s="111"/>
      <c r="F99" s="111"/>
      <c r="G99" s="183"/>
      <c r="H99" s="179"/>
      <c r="I99" s="111"/>
      <c r="J99" s="183"/>
      <c r="K99" s="179"/>
      <c r="L99" s="111"/>
      <c r="M99" s="111"/>
      <c r="N99" s="183"/>
    </row>
    <row r="100" spans="1:16" x14ac:dyDescent="0.2">
      <c r="A100" s="179" t="s">
        <v>717</v>
      </c>
      <c r="B100" s="111"/>
      <c r="C100" s="611" t="s">
        <v>1253</v>
      </c>
      <c r="D100" s="526" t="s">
        <v>783</v>
      </c>
      <c r="E100" s="111"/>
      <c r="F100" s="111"/>
      <c r="G100" s="183"/>
      <c r="H100" s="179"/>
      <c r="I100" s="111"/>
      <c r="J100" s="183"/>
      <c r="K100" s="179"/>
      <c r="L100" s="111"/>
      <c r="M100" s="111"/>
      <c r="N100" s="183"/>
    </row>
    <row r="101" spans="1:16" x14ac:dyDescent="0.2">
      <c r="A101" s="179"/>
      <c r="B101" s="111"/>
      <c r="C101" s="111"/>
      <c r="D101" s="111"/>
      <c r="E101" s="111"/>
      <c r="F101" s="111"/>
      <c r="G101" s="183"/>
      <c r="H101" s="179"/>
      <c r="I101" s="111"/>
      <c r="J101" s="183"/>
      <c r="K101" s="179"/>
      <c r="L101" s="111"/>
      <c r="M101" s="111"/>
      <c r="N101" s="183"/>
    </row>
    <row r="102" spans="1:16" x14ac:dyDescent="0.2">
      <c r="A102" s="179"/>
      <c r="B102" s="111"/>
      <c r="C102" s="111"/>
      <c r="D102" s="111"/>
      <c r="E102" s="111"/>
      <c r="F102" s="111"/>
      <c r="G102" s="183"/>
      <c r="H102" s="179"/>
      <c r="I102" s="111"/>
      <c r="J102" s="183"/>
      <c r="K102" s="179"/>
      <c r="L102" s="111"/>
      <c r="M102" s="111"/>
      <c r="N102" s="183"/>
    </row>
    <row r="103" spans="1:16" x14ac:dyDescent="0.2">
      <c r="A103" s="477"/>
      <c r="B103" s="477"/>
      <c r="C103" s="477"/>
      <c r="D103" s="111"/>
      <c r="E103" s="111"/>
      <c r="F103" s="111"/>
      <c r="G103" s="183"/>
      <c r="H103" s="179"/>
      <c r="I103" s="111"/>
      <c r="J103" s="183"/>
      <c r="K103" s="179"/>
      <c r="L103" s="111"/>
      <c r="M103" s="111"/>
      <c r="N103" s="183"/>
    </row>
    <row r="104" spans="1:16" ht="13.5" thickBot="1" x14ac:dyDescent="0.25">
      <c r="A104" s="180"/>
      <c r="B104" s="184"/>
      <c r="C104" s="184"/>
      <c r="D104" s="184"/>
      <c r="E104" s="184"/>
      <c r="F104" s="184"/>
      <c r="G104" s="185"/>
      <c r="H104" s="180"/>
      <c r="I104" s="184"/>
      <c r="J104" s="185"/>
      <c r="K104" s="180"/>
      <c r="L104" s="184"/>
      <c r="M104" s="184"/>
      <c r="N104" s="185"/>
    </row>
    <row r="105" spans="1:16" ht="13.5" thickBot="1" x14ac:dyDescent="0.25">
      <c r="A105" s="477"/>
      <c r="B105" s="477"/>
      <c r="C105" s="477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</row>
    <row r="106" spans="1:16" x14ac:dyDescent="0.2">
      <c r="A106" s="175" t="s">
        <v>727</v>
      </c>
      <c r="B106" s="181"/>
      <c r="C106" s="181"/>
      <c r="D106" s="181"/>
      <c r="E106" s="181"/>
      <c r="F106" s="181"/>
      <c r="G106" s="182"/>
      <c r="H106" s="1001" t="s">
        <v>640</v>
      </c>
      <c r="I106" s="1002"/>
      <c r="J106" s="1003"/>
      <c r="K106" s="1001" t="s">
        <v>726</v>
      </c>
      <c r="L106" s="1002"/>
      <c r="M106" s="1002"/>
      <c r="N106" s="1003"/>
    </row>
    <row r="107" spans="1:16" x14ac:dyDescent="0.2">
      <c r="A107" s="179"/>
      <c r="B107" s="111"/>
      <c r="C107" s="111"/>
      <c r="D107" s="111"/>
      <c r="E107" s="111"/>
      <c r="F107" s="111"/>
      <c r="G107" s="183"/>
      <c r="H107" s="179" t="s">
        <v>690</v>
      </c>
      <c r="I107" s="611">
        <v>2</v>
      </c>
      <c r="J107" s="177" t="s">
        <v>694</v>
      </c>
      <c r="K107" s="179"/>
      <c r="L107" s="943"/>
      <c r="M107" s="943"/>
      <c r="N107" s="183"/>
      <c r="P107" t="s">
        <v>1972</v>
      </c>
    </row>
    <row r="108" spans="1:16" x14ac:dyDescent="0.2">
      <c r="A108" s="179"/>
      <c r="B108" s="111"/>
      <c r="C108" s="111"/>
      <c r="D108" s="111"/>
      <c r="E108" s="111"/>
      <c r="F108" s="111"/>
      <c r="G108" s="183"/>
      <c r="H108" s="179" t="s">
        <v>692</v>
      </c>
      <c r="I108" s="111"/>
      <c r="J108" s="183"/>
      <c r="K108" s="179" t="s">
        <v>1965</v>
      </c>
      <c r="L108" s="943" t="str">
        <f>IF(ISERROR(VLOOKUP(1,MotorRange,7,FALSE)),IF(ISERROR(VLOOKUP(2,MotorRange,7,FALSE)),VLOOKUP(3,MotorRange,7,FALSE),VLOOKUP(2,MotorRange,7,FALSE)),VLOOKUP(1,MotorRange,7,FALSE))</f>
        <v>P31.05.007</v>
      </c>
      <c r="M108" s="943"/>
      <c r="N108" s="183"/>
      <c r="P108" t="s">
        <v>1973</v>
      </c>
    </row>
    <row r="109" spans="1:16" x14ac:dyDescent="0.2">
      <c r="A109" s="179" t="s">
        <v>576</v>
      </c>
      <c r="B109" s="50" t="s">
        <v>575</v>
      </c>
      <c r="C109" s="50" t="str">
        <f>+P0Q5</f>
        <v>Variable</v>
      </c>
      <c r="D109" s="111"/>
      <c r="E109" s="111"/>
      <c r="F109" s="111"/>
      <c r="G109" s="183"/>
      <c r="H109" s="179" t="s">
        <v>693</v>
      </c>
      <c r="I109" s="111"/>
      <c r="J109" s="183"/>
      <c r="K109" s="179" t="s">
        <v>1966</v>
      </c>
      <c r="L109" s="1008" t="str">
        <f>IF(ISERROR(IF(L107=0,+L108,+L107)),0,IF(L107=0,+L108,+L107))</f>
        <v>P31.05.007</v>
      </c>
      <c r="M109" s="1008"/>
      <c r="N109" s="177" t="s">
        <v>713</v>
      </c>
      <c r="O109" s="125" t="s">
        <v>1968</v>
      </c>
    </row>
    <row r="110" spans="1:16" x14ac:dyDescent="0.2">
      <c r="A110" s="179" t="s">
        <v>401</v>
      </c>
      <c r="B110" s="111"/>
      <c r="C110" s="610">
        <v>115</v>
      </c>
      <c r="D110" s="111" t="s">
        <v>578</v>
      </c>
      <c r="E110" s="111"/>
      <c r="F110" s="111"/>
      <c r="G110" s="183"/>
      <c r="H110" s="477"/>
      <c r="I110" s="477"/>
      <c r="J110" s="477"/>
      <c r="K110" s="179"/>
      <c r="L110" s="111"/>
      <c r="M110" s="111"/>
      <c r="N110" s="183"/>
    </row>
    <row r="111" spans="1:16" x14ac:dyDescent="0.2">
      <c r="A111" s="245" t="s">
        <v>1448</v>
      </c>
      <c r="B111" s="50" t="s">
        <v>1446</v>
      </c>
      <c r="C111" s="267" t="str">
        <f>+P0Q12</f>
        <v>Bodine</v>
      </c>
      <c r="D111" s="244"/>
      <c r="E111" s="111"/>
      <c r="F111" s="111"/>
      <c r="G111" s="183"/>
      <c r="H111" s="477"/>
      <c r="I111" s="477"/>
      <c r="J111" s="477"/>
      <c r="K111" s="179" t="s">
        <v>674</v>
      </c>
      <c r="L111" s="377">
        <f>ROUND(IF(ISERROR(VLOOKUP(1,MotorRange,2,FALSE)),IF(ISERROR(VLOOKUP(2,MotorRange,2,FALSE)),VLOOKUP(3,MotorRange,2,FALSE),VLOOKUP(2,MotorRange,2,FALSE)),VLOOKUP(1,MotorRange,2,FALSE)),3)</f>
        <v>0.25</v>
      </c>
      <c r="M111" s="111"/>
      <c r="N111" s="177" t="s">
        <v>863</v>
      </c>
    </row>
    <row r="112" spans="1:16" x14ac:dyDescent="0.2">
      <c r="A112" s="525" t="s">
        <v>2022</v>
      </c>
      <c r="B112" s="50" t="s">
        <v>672</v>
      </c>
      <c r="C112" s="50">
        <f>+P12q1</f>
        <v>111.94849972700983</v>
      </c>
      <c r="D112" s="244" t="s">
        <v>837</v>
      </c>
      <c r="E112" s="111"/>
      <c r="F112" s="111"/>
      <c r="G112" s="183"/>
      <c r="H112" s="179"/>
      <c r="I112" s="111"/>
      <c r="J112" s="183"/>
      <c r="K112" s="179" t="s">
        <v>331</v>
      </c>
      <c r="L112" s="378">
        <f>IF(ISERROR(VLOOKUP(1,MotorRange,3,FALSE)),IF(ISERROR(VLOOKUP(2,MotorRange,3,FALSE)),VLOOKUP(3,MotorRange,3,FALSE),VLOOKUP(2,MotorRange,3,FALSE)),VLOOKUP(1,MotorRange,3,FALSE))</f>
        <v>84</v>
      </c>
      <c r="M112" s="111"/>
      <c r="N112" s="177" t="s">
        <v>864</v>
      </c>
    </row>
    <row r="113" spans="1:14" x14ac:dyDescent="0.2">
      <c r="A113" s="179"/>
      <c r="B113" s="111"/>
      <c r="C113" s="111"/>
      <c r="D113" s="111"/>
      <c r="E113" s="111"/>
      <c r="F113" s="111"/>
      <c r="G113" s="183"/>
      <c r="H113" s="179"/>
      <c r="I113" s="111"/>
      <c r="J113" s="183"/>
      <c r="K113" s="179" t="s">
        <v>671</v>
      </c>
      <c r="L113" s="378">
        <f>IF(ISERROR(VLOOKUP(1,MotorRange,4,FALSE)),IF(ISERROR(VLOOKUP(2,MotorRange,4,FALSE)),VLOOKUP(3,MotorRange,4,FALSE),VLOOKUP(2,MotorRange,4,FALSE)),VLOOKUP(1,MotorRange,4,FALSE))</f>
        <v>106</v>
      </c>
      <c r="M113" s="111"/>
      <c r="N113" s="355" t="s">
        <v>865</v>
      </c>
    </row>
    <row r="114" spans="1:14" x14ac:dyDescent="0.2">
      <c r="A114" s="179" t="s">
        <v>1518</v>
      </c>
      <c r="B114" s="111"/>
      <c r="C114" s="117">
        <f>+P12q1*(1+D114)</f>
        <v>44.779399890803937</v>
      </c>
      <c r="D114" s="250">
        <v>-0.6</v>
      </c>
      <c r="E114" s="111"/>
      <c r="F114" s="250">
        <f>IF(G114=0,0,+D114)</f>
        <v>0</v>
      </c>
      <c r="G114" s="247">
        <f>+C114*I114</f>
        <v>0</v>
      </c>
      <c r="H114" s="249" t="s">
        <v>699</v>
      </c>
      <c r="I114" s="96">
        <v>0</v>
      </c>
      <c r="J114" s="183"/>
      <c r="K114" s="179" t="s">
        <v>938</v>
      </c>
      <c r="L114" s="1008" t="str">
        <f>IF(ISERROR(VLOOKUP(1,MotorRange,7,FALSE)),IF(ISERROR(VLOOKUP(2,MotorRange,7,FALSE)),VLOOKUP(3,MotorRange,7,FALSE),VLOOKUP(2,MotorRange,7,FALSE)),VLOOKUP(1,MotorRange,7,FALSE))</f>
        <v>P31.05.007</v>
      </c>
      <c r="M114" s="1008"/>
      <c r="N114" s="177" t="s">
        <v>1139</v>
      </c>
    </row>
    <row r="115" spans="1:14" x14ac:dyDescent="0.2">
      <c r="A115" s="179" t="s">
        <v>1521</v>
      </c>
      <c r="B115" s="111"/>
      <c r="C115" s="117">
        <f>+P12q1*(1+D115)</f>
        <v>134.3381996724118</v>
      </c>
      <c r="D115" s="250">
        <v>0.2</v>
      </c>
      <c r="E115" s="111"/>
      <c r="F115" s="250">
        <f>IF(G115=0,0,+D115)</f>
        <v>0</v>
      </c>
      <c r="G115" s="247">
        <f>+C115*I115</f>
        <v>0</v>
      </c>
      <c r="H115" s="249" t="s">
        <v>699</v>
      </c>
      <c r="I115" s="96">
        <v>0</v>
      </c>
      <c r="J115" s="183"/>
      <c r="K115" s="179" t="s">
        <v>1332</v>
      </c>
      <c r="L115" s="1008" t="str">
        <f>IF(ISERROR(VLOOKUP(1,MotorRange,9,FALSE)),IF(ISERROR(VLOOKUP(2,MotorRange,9,FALSE)),VLOOKUP(3,MotorRange,9,FALSE),VLOOKUP(2,MotorRange,9,FALSE)),VLOOKUP(1,MotorRange,9,FALSE))</f>
        <v>Bodine</v>
      </c>
      <c r="M115" s="1008"/>
      <c r="N115" s="177" t="s">
        <v>1333</v>
      </c>
    </row>
    <row r="116" spans="1:14" x14ac:dyDescent="0.2">
      <c r="A116" s="179" t="s">
        <v>1519</v>
      </c>
      <c r="B116" s="111"/>
      <c r="C116" s="117">
        <f>+P12q1*(1+D116)</f>
        <v>55.974249863504916</v>
      </c>
      <c r="D116" s="250">
        <v>-0.5</v>
      </c>
      <c r="E116" s="111"/>
      <c r="F116" s="250">
        <f>IF(G116=0,0,+D116)</f>
        <v>0</v>
      </c>
      <c r="G116" s="247">
        <f>+C116*I116</f>
        <v>0</v>
      </c>
      <c r="H116" s="249" t="s">
        <v>705</v>
      </c>
      <c r="I116" s="96">
        <v>0</v>
      </c>
      <c r="J116" s="183"/>
      <c r="K116" s="179" t="s">
        <v>1345</v>
      </c>
      <c r="L116" s="378">
        <f>IF(ISERROR(VLOOKUP(1,MotorRange,20,FALSE)),IF(ISERROR(VLOOKUP(2,MotorRange,20,FALSE)),VLOOKUP(3,MotorRange,20,FALSE),VLOOKUP(2,MotorRange,20,FALSE)),VLOOKUP(1,MotorRange,20,FALSE))</f>
        <v>15.875</v>
      </c>
      <c r="M116" s="111"/>
      <c r="N116" s="177" t="s">
        <v>1346</v>
      </c>
    </row>
    <row r="117" spans="1:14" x14ac:dyDescent="0.2">
      <c r="A117" s="179" t="s">
        <v>1520</v>
      </c>
      <c r="B117" s="111"/>
      <c r="C117" s="117">
        <f>+P12q1*(1+D117)</f>
        <v>167.92274959051474</v>
      </c>
      <c r="D117" s="250">
        <v>0.5</v>
      </c>
      <c r="E117" s="111"/>
      <c r="F117" s="250">
        <f>IF(G117=0,0,+D117)</f>
        <v>0</v>
      </c>
      <c r="G117" s="247">
        <f>+C117*I117</f>
        <v>0</v>
      </c>
      <c r="H117" s="249" t="s">
        <v>705</v>
      </c>
      <c r="I117" s="96">
        <v>0</v>
      </c>
      <c r="J117" s="183"/>
      <c r="K117" s="179" t="s">
        <v>1450</v>
      </c>
      <c r="L117" s="378" t="str">
        <f>IF(ISERROR(VLOOKUP(1,MotorRange,14,FALSE)),IF(ISERROR(VLOOKUP(2,MotorRange,14,FALSE)),VLOOKUP(3,MotorRange,14,FALSE),VLOOKUP(2,MotorRange,14,FALSE)),VLOOKUP(1,MotorRange,14,FALSE))</f>
        <v>130 VDC</v>
      </c>
      <c r="M117" s="111"/>
      <c r="N117" s="177" t="s">
        <v>1451</v>
      </c>
    </row>
    <row r="118" spans="1:14" x14ac:dyDescent="0.2">
      <c r="A118" s="179"/>
      <c r="B118" s="111"/>
      <c r="C118" s="111"/>
      <c r="D118" s="111"/>
      <c r="E118" s="111"/>
      <c r="F118" s="111"/>
      <c r="G118" s="183"/>
      <c r="H118" s="179"/>
      <c r="I118" s="111"/>
      <c r="J118" s="183"/>
      <c r="K118" s="179"/>
      <c r="L118" s="111"/>
      <c r="M118" s="111"/>
      <c r="N118" s="183"/>
    </row>
    <row r="119" spans="1:14" x14ac:dyDescent="0.2">
      <c r="A119" s="179" t="s">
        <v>838</v>
      </c>
      <c r="B119" s="111"/>
      <c r="C119" s="117">
        <f>+P12q1*(1+D119)</f>
        <v>55.974249863504916</v>
      </c>
      <c r="D119" s="250">
        <v>-0.5</v>
      </c>
      <c r="E119" s="111"/>
      <c r="F119" s="250">
        <f t="shared" ref="F119:F127" si="0">IF(G119=0,0,+D119)</f>
        <v>0</v>
      </c>
      <c r="G119" s="247">
        <f>+I119*I121*C119</f>
        <v>0</v>
      </c>
      <c r="H119" s="249" t="s">
        <v>392</v>
      </c>
      <c r="I119" s="96">
        <f>IF(P1Q1="Head",1,0)</f>
        <v>1</v>
      </c>
      <c r="J119" s="183"/>
      <c r="K119" s="179" t="s">
        <v>881</v>
      </c>
      <c r="L119" s="266">
        <f>IF(ISERROR(VLOOKUP(1,MotorRange,23,FALSE)),IF(ISERROR(VLOOKUP(2,MotorRange,23,FALSE)),VLOOKUP(3,MotorRange,23,FALSE),VLOOKUP(2,MotorRange,23,FALSE)),VLOOKUP(1,MotorRange,23,FALSE))</f>
        <v>2</v>
      </c>
      <c r="M119" s="111"/>
      <c r="N119" s="177" t="s">
        <v>882</v>
      </c>
    </row>
    <row r="120" spans="1:14" x14ac:dyDescent="0.2">
      <c r="A120" s="179" t="s">
        <v>839</v>
      </c>
      <c r="B120" s="111"/>
      <c r="C120" s="117">
        <f>+P12q1*(1+D120)</f>
        <v>123.14334969971083</v>
      </c>
      <c r="D120" s="436">
        <v>0.1</v>
      </c>
      <c r="E120" s="111"/>
      <c r="F120" s="250">
        <f t="shared" si="0"/>
        <v>0</v>
      </c>
      <c r="G120" s="247">
        <f>+I119*I121*C120</f>
        <v>0</v>
      </c>
      <c r="H120" s="249" t="s">
        <v>393</v>
      </c>
      <c r="I120" s="96">
        <f>IF(P1Q1="Center",1,0)</f>
        <v>0</v>
      </c>
      <c r="J120" s="183"/>
      <c r="K120" s="179"/>
      <c r="L120" s="111"/>
      <c r="M120" s="111"/>
      <c r="N120" s="183"/>
    </row>
    <row r="121" spans="1:14" x14ac:dyDescent="0.2">
      <c r="A121" s="179" t="s">
        <v>841</v>
      </c>
      <c r="B121" s="111"/>
      <c r="C121" s="117">
        <f>+P12q1*(1+D121)</f>
        <v>11.194849972700981</v>
      </c>
      <c r="D121" s="655">
        <v>-0.9</v>
      </c>
      <c r="E121" s="111"/>
      <c r="F121" s="250">
        <f t="shared" si="0"/>
        <v>-0.9</v>
      </c>
      <c r="G121" s="247">
        <f>+I119*I122*C121</f>
        <v>11.194849972700981</v>
      </c>
      <c r="H121" s="249" t="s">
        <v>399</v>
      </c>
      <c r="I121" s="96">
        <f>IF(P0Q5="Variable",0,1)</f>
        <v>0</v>
      </c>
      <c r="J121" s="183"/>
      <c r="K121" s="179" t="s">
        <v>1572</v>
      </c>
      <c r="L121" s="437">
        <f>+quote44</f>
        <v>0.25</v>
      </c>
      <c r="M121" s="111"/>
      <c r="N121" s="177" t="s">
        <v>1573</v>
      </c>
    </row>
    <row r="122" spans="1:14" x14ac:dyDescent="0.2">
      <c r="A122" s="179" t="s">
        <v>842</v>
      </c>
      <c r="B122" s="111"/>
      <c r="C122" s="117">
        <f>+P12q1*(1+D122)</f>
        <v>128.74077468606129</v>
      </c>
      <c r="D122" s="436">
        <v>0.15</v>
      </c>
      <c r="E122" s="111"/>
      <c r="F122" s="250">
        <f t="shared" si="0"/>
        <v>0.15</v>
      </c>
      <c r="G122" s="247">
        <f>+I119*I122*C122</f>
        <v>128.74077468606129</v>
      </c>
      <c r="H122" s="249" t="s">
        <v>400</v>
      </c>
      <c r="I122" s="96">
        <f>IF(P0Q5="Variable",1,0)</f>
        <v>1</v>
      </c>
      <c r="J122" s="183"/>
      <c r="K122" s="179"/>
      <c r="L122" s="111"/>
      <c r="M122" s="111"/>
      <c r="N122" s="183"/>
    </row>
    <row r="123" spans="1:14" x14ac:dyDescent="0.2">
      <c r="A123" s="176"/>
      <c r="B123" s="111"/>
      <c r="E123" s="111"/>
      <c r="F123" s="111"/>
      <c r="G123" s="183"/>
      <c r="H123" s="249"/>
      <c r="I123" s="111"/>
      <c r="J123" s="183"/>
      <c r="K123" s="179" t="s">
        <v>1897</v>
      </c>
      <c r="L123" s="266">
        <f>IF(quote18&lt;&gt;0,IF(AND(quote76&lt;&gt;0,quote76&lt;&gt;20),1,0),0)</f>
        <v>1</v>
      </c>
      <c r="M123" s="111"/>
      <c r="N123" s="177" t="s">
        <v>1898</v>
      </c>
    </row>
    <row r="124" spans="1:14" x14ac:dyDescent="0.2">
      <c r="A124" s="179" t="s">
        <v>847</v>
      </c>
      <c r="B124" s="111"/>
      <c r="C124" s="117">
        <f>+P12q1*(1+D124)</f>
        <v>75.005494817096576</v>
      </c>
      <c r="D124" s="251" t="s">
        <v>840</v>
      </c>
      <c r="E124" s="111"/>
      <c r="F124" s="250">
        <f t="shared" si="0"/>
        <v>0</v>
      </c>
      <c r="G124" s="247">
        <f>+I120*I121*C124</f>
        <v>0</v>
      </c>
      <c r="H124" s="249" t="s">
        <v>851</v>
      </c>
      <c r="I124" s="93">
        <f>+G119+G121+G124+G126+G114+G116</f>
        <v>11.194849972700981</v>
      </c>
      <c r="J124" s="177" t="s">
        <v>853</v>
      </c>
      <c r="K124" s="179"/>
      <c r="L124" s="111"/>
      <c r="M124" s="111"/>
      <c r="N124" s="183"/>
    </row>
    <row r="125" spans="1:14" x14ac:dyDescent="0.2">
      <c r="A125" s="179" t="s">
        <v>848</v>
      </c>
      <c r="B125" s="111"/>
      <c r="C125" s="117">
        <f>+P12q1*(1+D125)</f>
        <v>134.3381996724118</v>
      </c>
      <c r="D125" s="251" t="s">
        <v>843</v>
      </c>
      <c r="E125" s="111"/>
      <c r="F125" s="250">
        <f t="shared" si="0"/>
        <v>0</v>
      </c>
      <c r="G125" s="247">
        <f>+I120*I121*C125</f>
        <v>0</v>
      </c>
      <c r="H125" s="176"/>
      <c r="I125" s="358">
        <f>+F114+F116+F119+F121+F124+F126</f>
        <v>-0.9</v>
      </c>
      <c r="J125" s="177" t="s">
        <v>1528</v>
      </c>
      <c r="K125" s="179" t="s">
        <v>1345</v>
      </c>
      <c r="L125" s="377">
        <f>+quote76/25.4</f>
        <v>0.625</v>
      </c>
      <c r="M125" s="111"/>
      <c r="N125" s="526" t="s">
        <v>2218</v>
      </c>
    </row>
    <row r="126" spans="1:14" x14ac:dyDescent="0.2">
      <c r="A126" s="179" t="s">
        <v>849</v>
      </c>
      <c r="B126" s="111"/>
      <c r="C126" s="117">
        <f>+P12q1*(1+D126)</f>
        <v>11.194849972700981</v>
      </c>
      <c r="D126" s="655">
        <v>-0.9</v>
      </c>
      <c r="E126" s="111"/>
      <c r="F126" s="250">
        <f t="shared" si="0"/>
        <v>0</v>
      </c>
      <c r="G126" s="247">
        <f>+I120*I122*C126</f>
        <v>0</v>
      </c>
      <c r="H126" s="249" t="s">
        <v>852</v>
      </c>
      <c r="I126" s="93">
        <f>+G120+G122+G125+G127+G115+G117</f>
        <v>128.74077468606129</v>
      </c>
      <c r="J126" s="177" t="s">
        <v>854</v>
      </c>
      <c r="K126" s="179"/>
      <c r="L126" s="111"/>
      <c r="M126" s="111"/>
      <c r="N126" s="183"/>
    </row>
    <row r="127" spans="1:14" ht="13.5" thickBot="1" x14ac:dyDescent="0.25">
      <c r="A127" s="180" t="s">
        <v>850</v>
      </c>
      <c r="B127" s="184"/>
      <c r="C127" s="246">
        <f>+P12q1*(1+D127)</f>
        <v>134.3381996724118</v>
      </c>
      <c r="D127" s="252" t="s">
        <v>843</v>
      </c>
      <c r="E127" s="184"/>
      <c r="F127" s="360">
        <f t="shared" si="0"/>
        <v>0</v>
      </c>
      <c r="G127" s="248">
        <f>+I120*I122*C127</f>
        <v>0</v>
      </c>
      <c r="H127" s="180"/>
      <c r="I127" s="359">
        <f>+F115+F117+F120+F122+F125+F127</f>
        <v>0.15</v>
      </c>
      <c r="J127" s="187" t="s">
        <v>1530</v>
      </c>
      <c r="K127" s="180"/>
      <c r="L127" s="184"/>
      <c r="M127" s="184"/>
      <c r="N127" s="185"/>
    </row>
    <row r="128" spans="1:14" ht="13.5" thickBot="1" x14ac:dyDescent="0.25">
      <c r="A128" s="111"/>
      <c r="B128" s="111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</row>
    <row r="129" spans="1:17" ht="12.75" customHeight="1" x14ac:dyDescent="0.2">
      <c r="A129" s="175" t="s">
        <v>895</v>
      </c>
      <c r="B129" s="181"/>
      <c r="C129" s="181"/>
      <c r="D129" s="181"/>
      <c r="E129" s="181"/>
      <c r="F129" s="181"/>
      <c r="G129" s="181"/>
      <c r="H129" s="181" t="s">
        <v>901</v>
      </c>
      <c r="I129" s="270">
        <f>IF(P2Q1="AG",1,0)</f>
        <v>0</v>
      </c>
      <c r="J129" s="181"/>
      <c r="K129" s="234" t="s">
        <v>896</v>
      </c>
      <c r="L129" s="1004" t="s">
        <v>1517</v>
      </c>
      <c r="M129" s="1004"/>
      <c r="N129" s="1005"/>
      <c r="O129" s="1010" t="s">
        <v>857</v>
      </c>
      <c r="P129" s="1011"/>
      <c r="Q129" s="1012"/>
    </row>
    <row r="130" spans="1:17" x14ac:dyDescent="0.2">
      <c r="A130" s="179"/>
      <c r="B130" s="111"/>
      <c r="C130" s="111"/>
      <c r="D130" s="111"/>
      <c r="E130" s="111"/>
      <c r="F130" s="111"/>
      <c r="G130" s="111"/>
      <c r="H130" t="s">
        <v>903</v>
      </c>
      <c r="I130" s="96">
        <v>0</v>
      </c>
      <c r="J130" s="111"/>
      <c r="K130" s="179" t="s">
        <v>897</v>
      </c>
      <c r="L130" s="999" t="s">
        <v>1516</v>
      </c>
      <c r="M130" s="999"/>
      <c r="N130" s="1000"/>
      <c r="O130" s="1013"/>
      <c r="P130" s="1014"/>
      <c r="Q130" s="1015"/>
    </row>
    <row r="131" spans="1:17" x14ac:dyDescent="0.2">
      <c r="A131" s="179"/>
      <c r="B131" s="111"/>
      <c r="C131" s="111"/>
      <c r="D131" s="111"/>
      <c r="E131" s="111"/>
      <c r="F131" s="111"/>
      <c r="G131" s="111"/>
      <c r="H131" s="111" t="s">
        <v>658</v>
      </c>
      <c r="I131" s="96">
        <f>IF(AND(P0Q12="N/A",P0Q5="N/A"),0,IF(quote18=0,1,0))</f>
        <v>0</v>
      </c>
      <c r="J131" s="111"/>
      <c r="K131" s="179" t="s">
        <v>898</v>
      </c>
      <c r="L131" s="1016" t="s">
        <v>2220</v>
      </c>
      <c r="M131" s="999"/>
      <c r="N131" s="1000"/>
      <c r="O131" s="1013"/>
      <c r="P131" s="1014"/>
      <c r="Q131" s="1015"/>
    </row>
    <row r="132" spans="1:17" x14ac:dyDescent="0.2">
      <c r="A132" s="179"/>
      <c r="B132" s="111"/>
      <c r="C132" s="111"/>
      <c r="D132" s="111"/>
      <c r="E132" s="111"/>
      <c r="F132" s="111"/>
      <c r="G132" s="111"/>
      <c r="H132" s="111" t="s">
        <v>900</v>
      </c>
      <c r="I132" s="96">
        <f>IF(I129+I131=2,1,IF(I130+I131=2,2,IF(I131=1,3,0)))</f>
        <v>0</v>
      </c>
      <c r="J132" s="233" t="s">
        <v>1515</v>
      </c>
      <c r="K132" s="179" t="s">
        <v>899</v>
      </c>
      <c r="L132" s="1017" t="str">
        <f>IF(I132=3,+L131,IF(I132=2,+L130,IF(I132=1,+L129," ")))</f>
        <v xml:space="preserve"> </v>
      </c>
      <c r="M132" s="1017"/>
      <c r="N132" s="177" t="s">
        <v>904</v>
      </c>
      <c r="O132" s="1013"/>
      <c r="P132" s="1014"/>
      <c r="Q132" s="1015"/>
    </row>
    <row r="133" spans="1:17" x14ac:dyDescent="0.2">
      <c r="A133" s="179"/>
      <c r="B133" s="111"/>
      <c r="C133" s="111"/>
      <c r="D133" s="111"/>
      <c r="E133" s="111"/>
      <c r="F133" s="111"/>
      <c r="G133" s="111"/>
      <c r="H133" s="111"/>
      <c r="I133" s="111"/>
      <c r="J133" s="111"/>
      <c r="K133" s="179"/>
      <c r="L133" s="111"/>
      <c r="M133" s="111"/>
      <c r="N133" s="183"/>
      <c r="O133" s="111"/>
      <c r="P133" s="111"/>
      <c r="Q133" s="183"/>
    </row>
    <row r="134" spans="1:17" x14ac:dyDescent="0.2">
      <c r="A134" s="296" t="s">
        <v>975</v>
      </c>
      <c r="B134" s="111"/>
      <c r="C134" s="111"/>
      <c r="D134" s="111"/>
      <c r="E134" s="111"/>
      <c r="F134" s="111"/>
      <c r="G134" s="111"/>
      <c r="H134" s="111" t="s">
        <v>978</v>
      </c>
      <c r="I134" s="96" t="str">
        <f>IF(ISERROR(IF(AND(OR(quote52="Baldor",quote52="Bodine"),quote48=0),"Y","N")),"N",IF(AND(OR(quote52="Baldor",quote52="Bodine"),quote48=0),"Y","N"))</f>
        <v>N</v>
      </c>
      <c r="J134" s="233" t="s">
        <v>982</v>
      </c>
      <c r="K134" s="179" t="s">
        <v>985</v>
      </c>
      <c r="L134" s="1009" t="str">
        <f>+quote71</f>
        <v>Bodine</v>
      </c>
      <c r="M134" s="1009"/>
      <c r="N134" s="177" t="s">
        <v>986</v>
      </c>
      <c r="O134" s="315">
        <v>0</v>
      </c>
      <c r="P134" s="112" t="s">
        <v>1938</v>
      </c>
      <c r="Q134" s="183"/>
    </row>
    <row r="135" spans="1:17" x14ac:dyDescent="0.2">
      <c r="A135" s="179"/>
      <c r="B135" s="111"/>
      <c r="C135" s="111"/>
      <c r="D135" s="111"/>
      <c r="E135" s="111"/>
      <c r="F135" s="111"/>
      <c r="G135" s="111"/>
      <c r="H135" s="111"/>
      <c r="I135" s="111"/>
      <c r="J135" s="111"/>
      <c r="K135" s="179" t="s">
        <v>969</v>
      </c>
      <c r="L135" s="1008" t="str">
        <f>IF(OR(quote18=0,O134=1),0,IF(ISERROR(VLOOKUP(1,MotorRange,17,FALSE)),IF(ISERROR(VLOOKUP(2,MotorRange,17,FALSE)),VLOOKUP(3,MotorRange,17,FALSE),VLOOKUP(2,MotorRange,17,FALSE)),VLOOKUP(1,MotorRange,17,FALSE)))</f>
        <v>P50.10.001</v>
      </c>
      <c r="M135" s="1008"/>
      <c r="N135" s="177" t="s">
        <v>979</v>
      </c>
      <c r="O135" s="315">
        <f>IF(LEFT(quote48,3)="P50",1,0)</f>
        <v>1</v>
      </c>
      <c r="P135" s="111" t="s">
        <v>1970</v>
      </c>
      <c r="Q135" s="183"/>
    </row>
    <row r="136" spans="1:17" x14ac:dyDescent="0.2">
      <c r="A136" s="179"/>
      <c r="B136" s="111"/>
      <c r="C136" s="111"/>
      <c r="D136" s="111"/>
      <c r="E136" s="111"/>
      <c r="F136" s="111"/>
      <c r="G136" s="111"/>
      <c r="H136" s="111"/>
      <c r="I136" s="111"/>
      <c r="J136" s="111"/>
      <c r="K136" s="176"/>
      <c r="N136" s="88"/>
      <c r="O136" s="315">
        <f>IF(ISERROR(SUM(O134:O135)),0,IF(AND(O134=0,O135=1,P2Q1="AS"),1,0))</f>
        <v>0</v>
      </c>
      <c r="P136" s="93" t="s">
        <v>858</v>
      </c>
      <c r="Q136" s="183" t="s">
        <v>1969</v>
      </c>
    </row>
    <row r="137" spans="1:17" ht="13.5" thickBot="1" x14ac:dyDescent="0.25">
      <c r="A137" s="179"/>
      <c r="B137" s="111"/>
      <c r="C137" s="111"/>
      <c r="D137" s="111"/>
      <c r="E137" s="111"/>
      <c r="F137" s="111"/>
      <c r="G137" s="111"/>
      <c r="H137" s="111"/>
      <c r="I137" s="111"/>
      <c r="J137" s="111"/>
      <c r="K137" s="179" t="s">
        <v>971</v>
      </c>
      <c r="L137" s="1008">
        <f>IF(quote18&lt;&gt;0,IF(ISERROR(VLOOKUP(1,MotorRange,18,FALSE)),IF(ISERROR(VLOOKUP(2,MotorRange,18,FALSE)),VLOOKUP(3,MotorRange,18,FALSE),VLOOKUP(2,MotorRange,18,FALSE)),VLOOKUP(1,MotorRange,18,FALSE)),0)</f>
        <v>0</v>
      </c>
      <c r="M137" s="1008"/>
      <c r="N137" s="177" t="s">
        <v>980</v>
      </c>
      <c r="O137" s="184"/>
      <c r="P137" s="184"/>
      <c r="Q137" s="185"/>
    </row>
    <row r="138" spans="1:17" x14ac:dyDescent="0.2">
      <c r="A138" s="179"/>
      <c r="B138" s="111"/>
      <c r="C138" s="111"/>
      <c r="D138" s="111"/>
      <c r="E138" s="111"/>
      <c r="F138" s="111"/>
      <c r="G138" s="111"/>
      <c r="H138" s="111"/>
      <c r="I138" s="111"/>
      <c r="J138" s="111"/>
      <c r="K138" s="179" t="s">
        <v>977</v>
      </c>
      <c r="L138" s="1008">
        <f>IF(quote18&lt;&gt;0,IF(ISERROR(VLOOKUP(1,MotorRange,19,FALSE)),IF(ISERROR(VLOOKUP(2,MotorRange,19,FALSE)),VLOOKUP(3,MotorRange,19,FALSE),VLOOKUP(2,MotorRange,19,FALSE)),VLOOKUP(1,MotorRange,19,FALSE)),0)</f>
        <v>0</v>
      </c>
      <c r="M138" s="1008"/>
      <c r="N138" s="177" t="s">
        <v>981</v>
      </c>
    </row>
    <row r="139" spans="1:17" x14ac:dyDescent="0.2">
      <c r="A139" s="179"/>
      <c r="B139" s="111"/>
      <c r="C139" s="111"/>
      <c r="D139" s="111"/>
      <c r="E139" s="111"/>
      <c r="F139" s="111"/>
      <c r="G139" s="111"/>
      <c r="H139" s="111"/>
      <c r="I139" s="111"/>
      <c r="J139" s="111"/>
      <c r="K139" s="176"/>
      <c r="N139" s="88"/>
    </row>
    <row r="140" spans="1:17" x14ac:dyDescent="0.2">
      <c r="A140" s="179"/>
      <c r="B140" s="111"/>
      <c r="C140" s="111"/>
      <c r="D140" s="111"/>
      <c r="E140" s="111"/>
      <c r="F140" s="111"/>
      <c r="G140" s="111"/>
      <c r="H140" s="111"/>
      <c r="I140" s="111"/>
      <c r="J140" s="111"/>
      <c r="K140" s="179" t="s">
        <v>1452</v>
      </c>
      <c r="L140" s="1008">
        <f>IF(quote18&lt;&gt;0,IF(ISERROR(VLOOKUP(1,MotorRange,21,FALSE)),IF(ISERROR(VLOOKUP(2,MotorRange,21,FALSE)),VLOOKUP(3,MotorRange,21,FALSE),VLOOKUP(2,MotorRange,21,FALSE)),VLOOKUP(1,MotorRange,21,FALSE)),0)</f>
        <v>0</v>
      </c>
      <c r="M140" s="1008"/>
      <c r="N140" s="177" t="s">
        <v>2023</v>
      </c>
    </row>
    <row r="141" spans="1:17" x14ac:dyDescent="0.2">
      <c r="A141" s="179"/>
      <c r="B141" s="111"/>
      <c r="C141" s="111"/>
      <c r="D141" s="111"/>
      <c r="E141" s="111"/>
      <c r="F141" s="111"/>
      <c r="G141" s="111"/>
      <c r="H141" s="111"/>
      <c r="I141" s="111"/>
      <c r="J141" s="111"/>
      <c r="K141" s="179" t="s">
        <v>2024</v>
      </c>
      <c r="L141" s="1008">
        <f>IF(quote18&lt;&gt;0,IF(ISERROR(VLOOKUP(1,MotorRange,22,FALSE)),IF(ISERROR(VLOOKUP(2,MotorRange,22,FALSE)),VLOOKUP(3,MotorRange,22,FALSE),VLOOKUP(2,MotorRange,22,FALSE)),VLOOKUP(1,MotorRange,22,FALSE)),0)</f>
        <v>0</v>
      </c>
      <c r="M141" s="1008"/>
      <c r="N141" s="177" t="s">
        <v>2025</v>
      </c>
    </row>
    <row r="142" spans="1:17" x14ac:dyDescent="0.2">
      <c r="A142" s="111"/>
      <c r="B142" s="111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</row>
    <row r="143" spans="1:17" ht="13.5" thickBot="1" x14ac:dyDescent="0.25">
      <c r="A143" s="111"/>
      <c r="B143" s="111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11"/>
      <c r="N143" s="111"/>
    </row>
    <row r="144" spans="1:17" x14ac:dyDescent="0.2">
      <c r="A144" s="175" t="s">
        <v>763</v>
      </c>
      <c r="B144" s="181"/>
      <c r="C144" s="181"/>
      <c r="D144" s="181"/>
      <c r="E144" s="181"/>
      <c r="F144" s="181"/>
      <c r="G144" s="181"/>
      <c r="H144" s="181"/>
      <c r="I144" s="181"/>
      <c r="J144" s="181"/>
      <c r="K144" s="1002" t="s">
        <v>726</v>
      </c>
      <c r="L144" s="1002"/>
      <c r="M144" s="1002"/>
      <c r="N144" s="1003"/>
    </row>
    <row r="145" spans="1:14" x14ac:dyDescent="0.2">
      <c r="A145" s="179" t="s">
        <v>402</v>
      </c>
      <c r="B145" s="50" t="s">
        <v>577</v>
      </c>
      <c r="C145" s="50" t="str">
        <f>+P0Q6</f>
        <v>mk</v>
      </c>
      <c r="D145" s="111"/>
      <c r="E145" s="111"/>
      <c r="F145" s="111"/>
      <c r="G145" s="111"/>
      <c r="H145" s="111"/>
      <c r="I145" s="111"/>
      <c r="J145" s="111"/>
      <c r="K145" s="112" t="s">
        <v>633</v>
      </c>
      <c r="L145" s="1008" t="str">
        <f>IF(P0Q6="mk",IF(ISERROR(VLOOKUP(1,MotorRange,11,FALSE)),IF(ISERROR(VLOOKUP(2,MotorRange,11,FALSE)),VLOOKUP(3,MotorRange,11,FALSE),VLOOKUP(2,MotorRange,11,FALSE)),VLOOKUP(1,MotorRange,11,FALSE)),0)</f>
        <v>P31.10.147</v>
      </c>
      <c r="M145" s="1008"/>
      <c r="N145" s="177" t="s">
        <v>764</v>
      </c>
    </row>
    <row r="146" spans="1:14" x14ac:dyDescent="0.2">
      <c r="A146" s="176"/>
      <c r="B146" s="111"/>
      <c r="C146" s="111"/>
      <c r="D146" s="111"/>
      <c r="E146" s="111"/>
      <c r="F146" s="111"/>
      <c r="G146" s="111"/>
      <c r="H146" s="111"/>
      <c r="I146" s="111"/>
      <c r="J146" s="111"/>
      <c r="K146" s="112" t="s">
        <v>1967</v>
      </c>
      <c r="L146" s="1008" t="str">
        <f>IF(quote26&lt;&gt;0,IF(ISERROR(VLOOKUP(1,MotorRange,15,FALSE)),IF(ISERROR(VLOOKUP(2,MotorRange,15,FALSE)),VLOOKUP(3,MotorRange,15,FALSE),VLOOKUP(2,MotorRange,15,FALSE)),VLOOKUP(1,MotorRange,15,FALSE)),0)</f>
        <v>Y</v>
      </c>
      <c r="M146" s="1008"/>
      <c r="N146" s="177" t="s">
        <v>769</v>
      </c>
    </row>
    <row r="147" spans="1:14" ht="13.5" thickBot="1" x14ac:dyDescent="0.25">
      <c r="A147" s="180"/>
      <c r="B147" s="618"/>
      <c r="C147" s="618"/>
      <c r="D147" s="618"/>
      <c r="E147" s="184"/>
      <c r="F147" s="184"/>
      <c r="G147" s="184"/>
      <c r="H147" s="184"/>
      <c r="I147" s="184"/>
      <c r="J147" s="184"/>
      <c r="K147" s="184"/>
      <c r="L147" s="184"/>
      <c r="M147" s="184"/>
      <c r="N147" s="185"/>
    </row>
    <row r="148" spans="1:14" ht="13.5" thickBot="1" x14ac:dyDescent="0.25">
      <c r="A148" s="111"/>
      <c r="B148" s="111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11"/>
      <c r="N148" s="111"/>
    </row>
    <row r="149" spans="1:14" x14ac:dyDescent="0.2">
      <c r="A149" s="274" t="s">
        <v>1006</v>
      </c>
      <c r="B149" s="181"/>
      <c r="C149" s="181"/>
      <c r="D149" s="181"/>
      <c r="E149" s="181"/>
      <c r="F149" s="181"/>
      <c r="G149" s="181"/>
      <c r="H149" s="181"/>
      <c r="I149" s="181"/>
      <c r="J149" s="181"/>
      <c r="K149" s="181"/>
      <c r="L149" s="181"/>
      <c r="M149" s="181"/>
      <c r="N149" s="182"/>
    </row>
    <row r="150" spans="1:14" x14ac:dyDescent="0.2">
      <c r="A150" s="179"/>
      <c r="B150" s="117">
        <v>1</v>
      </c>
      <c r="C150" s="117" t="s">
        <v>1007</v>
      </c>
      <c r="D150" s="111"/>
      <c r="E150" s="111"/>
      <c r="F150" s="111"/>
      <c r="G150" s="111"/>
      <c r="H150" s="111"/>
      <c r="I150" s="96">
        <f>IF(AND(P1Q1="Head",P2Q1&lt;&gt;"AW"),1,0)</f>
        <v>1</v>
      </c>
      <c r="J150" s="111"/>
      <c r="K150" s="111"/>
      <c r="L150" s="111"/>
      <c r="M150" s="111"/>
      <c r="N150" s="183"/>
    </row>
    <row r="151" spans="1:14" x14ac:dyDescent="0.2">
      <c r="A151" s="179"/>
      <c r="B151" s="117">
        <v>2</v>
      </c>
      <c r="C151" s="117" t="s">
        <v>1008</v>
      </c>
      <c r="D151" s="111"/>
      <c r="E151" s="111"/>
      <c r="F151" s="111"/>
      <c r="G151" s="111"/>
      <c r="H151" s="111"/>
      <c r="I151" s="96">
        <f>IF(P2Q1="AW",2,0)</f>
        <v>0</v>
      </c>
      <c r="J151" s="111"/>
      <c r="K151" s="111"/>
      <c r="L151" s="111"/>
      <c r="M151" s="111"/>
      <c r="N151" s="183"/>
    </row>
    <row r="152" spans="1:14" x14ac:dyDescent="0.2">
      <c r="A152" s="179"/>
      <c r="B152" s="117">
        <v>3</v>
      </c>
      <c r="C152" s="117" t="s">
        <v>1035</v>
      </c>
      <c r="D152" s="111"/>
      <c r="E152" s="111"/>
      <c r="F152" s="111"/>
      <c r="G152" s="111"/>
      <c r="H152" s="111"/>
      <c r="I152" s="266">
        <v>0</v>
      </c>
      <c r="J152" s="111" t="s">
        <v>2340</v>
      </c>
      <c r="K152" s="111"/>
      <c r="L152" s="111"/>
      <c r="M152" s="111"/>
      <c r="N152" s="183"/>
    </row>
    <row r="153" spans="1:14" x14ac:dyDescent="0.2">
      <c r="A153" s="179"/>
      <c r="B153" s="117">
        <v>4</v>
      </c>
      <c r="C153" s="117" t="s">
        <v>1034</v>
      </c>
      <c r="D153" s="111"/>
      <c r="E153" s="111"/>
      <c r="F153" s="111"/>
      <c r="G153" s="111"/>
      <c r="H153" s="111"/>
      <c r="I153" s="96">
        <f>IF(P1Q1="Center",4,0)</f>
        <v>0</v>
      </c>
      <c r="J153" s="111" t="s">
        <v>2340</v>
      </c>
      <c r="K153" s="111"/>
      <c r="L153" s="111"/>
      <c r="M153" s="111"/>
      <c r="N153" s="183"/>
    </row>
    <row r="154" spans="1:14" x14ac:dyDescent="0.2">
      <c r="A154" s="179"/>
      <c r="B154" s="117">
        <v>5</v>
      </c>
      <c r="C154" s="117" t="s">
        <v>1040</v>
      </c>
      <c r="D154" s="111"/>
      <c r="E154" s="111"/>
      <c r="F154" s="111"/>
      <c r="G154" s="111"/>
      <c r="H154" s="111"/>
      <c r="I154" s="266">
        <v>0</v>
      </c>
      <c r="J154" s="111"/>
      <c r="K154" s="111"/>
      <c r="L154" s="111"/>
      <c r="M154" s="111"/>
      <c r="N154" s="183"/>
    </row>
    <row r="155" spans="1:14" ht="13.5" thickBot="1" x14ac:dyDescent="0.25">
      <c r="A155" s="179"/>
      <c r="B155" s="117">
        <v>6</v>
      </c>
      <c r="C155" s="117" t="s">
        <v>1036</v>
      </c>
      <c r="D155" s="111"/>
      <c r="E155" s="111"/>
      <c r="F155" s="111"/>
      <c r="G155" s="111"/>
      <c r="H155" s="111"/>
      <c r="I155" s="266">
        <v>0</v>
      </c>
      <c r="J155" s="111"/>
      <c r="K155" s="111"/>
      <c r="L155" s="111"/>
      <c r="M155" s="111"/>
      <c r="N155" s="183"/>
    </row>
    <row r="156" spans="1:14" ht="13.5" thickBot="1" x14ac:dyDescent="0.25">
      <c r="A156" s="180"/>
      <c r="B156" s="184"/>
      <c r="C156" s="184"/>
      <c r="D156" s="184"/>
      <c r="E156" s="184"/>
      <c r="F156" s="184"/>
      <c r="G156" s="184"/>
      <c r="H156" s="184"/>
      <c r="I156" s="271">
        <f>SUM(I150:I155)</f>
        <v>1</v>
      </c>
      <c r="J156" s="277" t="s">
        <v>1041</v>
      </c>
      <c r="K156" s="184"/>
      <c r="L156" s="184"/>
      <c r="M156" s="184"/>
      <c r="N156" s="185"/>
    </row>
    <row r="157" spans="1:14" ht="13.5" thickBot="1" x14ac:dyDescent="0.25">
      <c r="A157" s="111"/>
      <c r="B157" s="111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11"/>
      <c r="N157" s="111"/>
    </row>
    <row r="158" spans="1:14" x14ac:dyDescent="0.2">
      <c r="A158" s="274" t="s">
        <v>888</v>
      </c>
      <c r="B158" s="181"/>
      <c r="C158" s="181"/>
      <c r="D158" s="181"/>
      <c r="E158" s="181"/>
      <c r="F158" s="181"/>
      <c r="G158" s="181"/>
      <c r="H158" s="181"/>
      <c r="I158" s="181"/>
      <c r="J158" s="181"/>
      <c r="K158" s="181"/>
      <c r="L158" s="181"/>
      <c r="M158" s="181"/>
      <c r="N158" s="182"/>
    </row>
    <row r="159" spans="1:14" x14ac:dyDescent="0.2">
      <c r="A159" s="179"/>
      <c r="B159" s="111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11"/>
      <c r="N159" s="183"/>
    </row>
    <row r="160" spans="1:14" x14ac:dyDescent="0.2">
      <c r="A160" s="417" t="s">
        <v>263</v>
      </c>
      <c r="B160" s="111"/>
      <c r="C160" s="111"/>
      <c r="D160" s="111"/>
      <c r="E160" s="111"/>
      <c r="F160" s="111"/>
      <c r="G160" s="111"/>
      <c r="H160" s="111"/>
      <c r="I160" s="111"/>
      <c r="J160" s="111"/>
      <c r="K160" s="111"/>
      <c r="L160" s="111"/>
      <c r="M160" s="111"/>
      <c r="N160" s="183"/>
    </row>
    <row r="161" spans="1:14" x14ac:dyDescent="0.2">
      <c r="A161" s="117" t="s">
        <v>1239</v>
      </c>
      <c r="B161" s="117">
        <v>1</v>
      </c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11"/>
      <c r="N161" s="183"/>
    </row>
    <row r="162" spans="1:14" x14ac:dyDescent="0.2">
      <c r="A162" s="117" t="s">
        <v>592</v>
      </c>
      <c r="B162" s="275">
        <v>0</v>
      </c>
      <c r="C162" s="111"/>
      <c r="D162" s="111"/>
      <c r="E162" s="111"/>
      <c r="F162" s="111"/>
      <c r="G162" s="111"/>
      <c r="H162" s="111"/>
      <c r="I162" s="111"/>
      <c r="J162" s="111"/>
      <c r="K162" s="111"/>
      <c r="L162" s="111"/>
      <c r="M162" s="111"/>
      <c r="N162" s="183"/>
    </row>
    <row r="163" spans="1:14" x14ac:dyDescent="0.2">
      <c r="A163" s="117" t="s">
        <v>889</v>
      </c>
      <c r="B163" s="275">
        <v>0</v>
      </c>
      <c r="C163" s="111"/>
      <c r="D163" s="111"/>
      <c r="E163" s="111"/>
      <c r="F163" s="111"/>
      <c r="G163" s="111"/>
      <c r="H163" s="111"/>
      <c r="I163" s="111"/>
      <c r="J163" s="111"/>
      <c r="K163" s="111"/>
      <c r="L163" s="111"/>
      <c r="M163" s="111"/>
      <c r="N163" s="183"/>
    </row>
    <row r="164" spans="1:14" x14ac:dyDescent="0.2">
      <c r="A164" s="117" t="s">
        <v>890</v>
      </c>
      <c r="B164" s="275">
        <v>0</v>
      </c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11"/>
      <c r="N164" s="183"/>
    </row>
    <row r="165" spans="1:14" x14ac:dyDescent="0.2">
      <c r="A165" s="249" t="s">
        <v>487</v>
      </c>
      <c r="B165" s="224">
        <f>SUM(B161:B164)</f>
        <v>1</v>
      </c>
      <c r="C165" s="50" t="s">
        <v>891</v>
      </c>
      <c r="D165" s="111"/>
      <c r="E165" s="111"/>
      <c r="F165" s="111"/>
      <c r="G165" s="111"/>
      <c r="H165" s="111"/>
      <c r="I165" s="111"/>
      <c r="J165" s="111"/>
      <c r="K165" s="111"/>
      <c r="L165" s="111"/>
      <c r="M165" s="111"/>
      <c r="N165" s="183"/>
    </row>
    <row r="166" spans="1:14" x14ac:dyDescent="0.2">
      <c r="A166" s="415" t="s">
        <v>1217</v>
      </c>
      <c r="B166" s="413">
        <v>1</v>
      </c>
      <c r="C166" s="50" t="s">
        <v>265</v>
      </c>
      <c r="D166" s="111"/>
      <c r="E166" s="111"/>
      <c r="F166" s="111"/>
      <c r="G166" s="111"/>
      <c r="H166" s="111"/>
      <c r="I166" s="111"/>
      <c r="J166" s="111"/>
      <c r="K166" s="111"/>
      <c r="L166" s="111"/>
      <c r="M166" s="111"/>
      <c r="N166" s="183"/>
    </row>
    <row r="167" spans="1:14" ht="13.5" thickBot="1" x14ac:dyDescent="0.25">
      <c r="A167" s="416" t="s">
        <v>264</v>
      </c>
      <c r="B167" s="271"/>
      <c r="C167" s="756" t="s">
        <v>2286</v>
      </c>
      <c r="D167" s="184"/>
      <c r="E167" s="184"/>
      <c r="F167" s="184"/>
      <c r="G167" s="184"/>
      <c r="H167" s="184"/>
      <c r="I167" s="184"/>
      <c r="J167" s="184"/>
      <c r="K167" s="184"/>
      <c r="L167" s="184"/>
      <c r="M167" s="184"/>
      <c r="N167" s="185"/>
    </row>
    <row r="168" spans="1:14" x14ac:dyDescent="0.2">
      <c r="A168" s="111"/>
      <c r="B168" s="111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11"/>
    </row>
  </sheetData>
  <mergeCells count="33">
    <mergeCell ref="H17:J17"/>
    <mergeCell ref="H29:J29"/>
    <mergeCell ref="H43:J43"/>
    <mergeCell ref="K106:N106"/>
    <mergeCell ref="K29:N29"/>
    <mergeCell ref="H92:J92"/>
    <mergeCell ref="K43:N43"/>
    <mergeCell ref="K92:N92"/>
    <mergeCell ref="L58:M58"/>
    <mergeCell ref="O129:Q132"/>
    <mergeCell ref="L109:M109"/>
    <mergeCell ref="L131:N131"/>
    <mergeCell ref="L130:N130"/>
    <mergeCell ref="L114:M114"/>
    <mergeCell ref="L132:M132"/>
    <mergeCell ref="L146:M146"/>
    <mergeCell ref="L141:M141"/>
    <mergeCell ref="L137:M137"/>
    <mergeCell ref="L145:M145"/>
    <mergeCell ref="L115:M115"/>
    <mergeCell ref="K144:N144"/>
    <mergeCell ref="L140:M140"/>
    <mergeCell ref="L138:M138"/>
    <mergeCell ref="L135:M135"/>
    <mergeCell ref="L134:M134"/>
    <mergeCell ref="D47:G47"/>
    <mergeCell ref="H81:J81"/>
    <mergeCell ref="H85:J85"/>
    <mergeCell ref="L129:N129"/>
    <mergeCell ref="L107:M107"/>
    <mergeCell ref="L108:M108"/>
    <mergeCell ref="L53:M53"/>
    <mergeCell ref="H106:J106"/>
  </mergeCells>
  <phoneticPr fontId="7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>
    <tabColor indexed="10"/>
  </sheetPr>
  <dimension ref="A1:AK242"/>
  <sheetViews>
    <sheetView topLeftCell="A16" workbookViewId="0">
      <selection activeCell="R48" sqref="R48"/>
    </sheetView>
  </sheetViews>
  <sheetFormatPr defaultColWidth="8.85546875" defaultRowHeight="12.75" x14ac:dyDescent="0.2"/>
  <cols>
    <col min="1" max="1" width="7.85546875" style="111" bestFit="1" customWidth="1"/>
    <col min="2" max="2" width="6.5703125" style="111" bestFit="1" customWidth="1"/>
    <col min="3" max="3" width="4.5703125" style="111" bestFit="1" customWidth="1"/>
    <col min="4" max="4" width="8.5703125" style="111" bestFit="1" customWidth="1"/>
    <col min="5" max="5" width="6.42578125" style="111" bestFit="1" customWidth="1"/>
    <col min="6" max="6" width="7" style="111" bestFit="1" customWidth="1"/>
    <col min="7" max="7" width="6.7109375" style="111" bestFit="1" customWidth="1"/>
    <col min="8" max="8" width="6" style="111" bestFit="1" customWidth="1"/>
    <col min="9" max="9" width="3.5703125" style="111" bestFit="1" customWidth="1"/>
    <col min="10" max="10" width="2.28515625" style="111" bestFit="1" customWidth="1"/>
    <col min="11" max="11" width="11.5703125" style="111" bestFit="1" customWidth="1"/>
    <col min="12" max="12" width="7.28515625" style="111" bestFit="1" customWidth="1"/>
    <col min="13" max="13" width="6.42578125" style="111" customWidth="1"/>
    <col min="14" max="14" width="5.42578125" style="111" bestFit="1" customWidth="1"/>
    <col min="15" max="15" width="6.140625" style="111" bestFit="1" customWidth="1"/>
    <col min="16" max="16" width="4.7109375" style="111" bestFit="1" customWidth="1"/>
    <col min="17" max="17" width="6" style="111" bestFit="1" customWidth="1"/>
    <col min="18" max="18" width="7" style="111" bestFit="1" customWidth="1"/>
    <col min="19" max="19" width="6.7109375" style="111" bestFit="1" customWidth="1"/>
    <col min="20" max="20" width="8.28515625" style="111" bestFit="1" customWidth="1"/>
    <col min="21" max="21" width="3.5703125" style="111" bestFit="1" customWidth="1"/>
    <col min="22" max="22" width="2.28515625" style="111" bestFit="1" customWidth="1"/>
    <col min="23" max="23" width="7" style="273" bestFit="1" customWidth="1"/>
    <col min="24" max="24" width="6.140625" style="273" bestFit="1" customWidth="1"/>
    <col min="25" max="25" width="13.140625" style="111" bestFit="1" customWidth="1"/>
    <col min="26" max="26" width="6.140625" style="111" bestFit="1" customWidth="1"/>
    <col min="27" max="27" width="7.28515625" style="111" bestFit="1" customWidth="1"/>
    <col min="28" max="28" width="3" style="111" customWidth="1"/>
    <col min="29" max="29" width="7.28515625" style="111" bestFit="1" customWidth="1"/>
    <col min="30" max="30" width="15.140625" style="111" bestFit="1" customWidth="1"/>
    <col min="31" max="31" width="5.85546875" style="111" bestFit="1" customWidth="1"/>
    <col min="32" max="32" width="6.140625" style="111" bestFit="1" customWidth="1"/>
    <col min="33" max="33" width="5.7109375" style="111" bestFit="1" customWidth="1"/>
    <col min="34" max="34" width="3.140625" style="111" customWidth="1"/>
    <col min="35" max="35" width="6.140625" style="111" bestFit="1" customWidth="1"/>
    <col min="36" max="36" width="5.7109375" style="111" bestFit="1" customWidth="1"/>
    <col min="37" max="37" width="11.5703125" style="111" bestFit="1" customWidth="1"/>
    <col min="38" max="16384" width="8.85546875" style="111"/>
  </cols>
  <sheetData>
    <row r="1" spans="1:20" x14ac:dyDescent="0.2">
      <c r="A1" s="1028" t="s">
        <v>1100</v>
      </c>
      <c r="B1" s="1028"/>
      <c r="C1" s="1028"/>
      <c r="D1" s="1028"/>
    </row>
    <row r="2" spans="1:20" x14ac:dyDescent="0.2">
      <c r="A2" s="943" t="s">
        <v>567</v>
      </c>
      <c r="B2" s="943"/>
      <c r="C2" s="943"/>
      <c r="D2" s="943"/>
      <c r="E2" s="93">
        <f>+P0Q2</f>
        <v>800</v>
      </c>
    </row>
    <row r="3" spans="1:20" x14ac:dyDescent="0.2">
      <c r="A3" s="943" t="s">
        <v>568</v>
      </c>
      <c r="B3" s="943"/>
      <c r="C3" s="943"/>
      <c r="D3" s="943"/>
      <c r="E3" s="93">
        <f>+p0q1</f>
        <v>3352.8</v>
      </c>
    </row>
    <row r="5" spans="1:20" x14ac:dyDescent="0.2">
      <c r="A5" s="1029" t="s">
        <v>998</v>
      </c>
      <c r="B5" s="1029"/>
      <c r="C5" s="1029"/>
      <c r="D5" s="1029"/>
      <c r="E5" s="1029"/>
      <c r="G5" s="1035" t="s">
        <v>1106</v>
      </c>
      <c r="H5" s="1035"/>
      <c r="I5" s="1035"/>
      <c r="K5" s="1035" t="s">
        <v>610</v>
      </c>
      <c r="L5" s="1035"/>
      <c r="M5" s="1035"/>
      <c r="N5" s="1035"/>
      <c r="P5" s="1035" t="s">
        <v>557</v>
      </c>
      <c r="Q5" s="1035"/>
      <c r="R5" s="1035"/>
      <c r="S5" s="1035"/>
    </row>
    <row r="6" spans="1:20" x14ac:dyDescent="0.2">
      <c r="A6" s="943" t="s">
        <v>1096</v>
      </c>
      <c r="B6" s="943"/>
      <c r="C6" s="943"/>
      <c r="D6" s="943"/>
      <c r="E6" s="93" t="str">
        <f>+quote59</f>
        <v>AC</v>
      </c>
      <c r="G6" s="943" t="s">
        <v>450</v>
      </c>
      <c r="H6" s="943"/>
      <c r="I6" s="591" t="s">
        <v>541</v>
      </c>
      <c r="K6" s="943" t="s">
        <v>450</v>
      </c>
      <c r="L6" s="943"/>
      <c r="M6" s="117"/>
      <c r="N6" s="288">
        <f>IF(P1Q1="Center","01",0)</f>
        <v>0</v>
      </c>
      <c r="P6" s="943" t="s">
        <v>1131</v>
      </c>
      <c r="Q6" s="943"/>
      <c r="R6" s="943"/>
      <c r="S6" s="93">
        <f>+X169</f>
        <v>2</v>
      </c>
    </row>
    <row r="7" spans="1:20" x14ac:dyDescent="0.2">
      <c r="A7" s="943" t="s">
        <v>1095</v>
      </c>
      <c r="B7" s="943"/>
      <c r="C7" s="943"/>
      <c r="D7" s="943"/>
      <c r="E7" s="93" t="str">
        <f>+P1Q1</f>
        <v>Head</v>
      </c>
      <c r="G7" s="943" t="s">
        <v>947</v>
      </c>
      <c r="H7" s="943"/>
      <c r="I7" s="266">
        <v>1</v>
      </c>
      <c r="K7" s="943" t="s">
        <v>947</v>
      </c>
      <c r="L7" s="943"/>
      <c r="M7" s="117"/>
      <c r="N7" s="266">
        <v>1</v>
      </c>
      <c r="P7" s="943" t="s">
        <v>1132</v>
      </c>
      <c r="Q7" s="943"/>
      <c r="R7" s="943"/>
      <c r="S7" s="93">
        <f>IF(ISERROR(+AI159),0,+AI159)</f>
        <v>120</v>
      </c>
    </row>
    <row r="8" spans="1:20" x14ac:dyDescent="0.2">
      <c r="A8" s="943" t="s">
        <v>1097</v>
      </c>
      <c r="B8" s="943"/>
      <c r="C8" s="943"/>
      <c r="D8" s="943"/>
      <c r="E8" s="93" t="str">
        <f>+P1Q2</f>
        <v>Right</v>
      </c>
      <c r="G8" s="282"/>
      <c r="H8" s="283"/>
      <c r="I8" s="284"/>
      <c r="K8" s="282"/>
      <c r="L8" s="283"/>
      <c r="M8" s="283"/>
      <c r="N8" s="284"/>
      <c r="P8" s="943" t="s">
        <v>1133</v>
      </c>
      <c r="Q8" s="943"/>
      <c r="R8" s="943"/>
      <c r="S8" s="93">
        <f>IF(ISERROR(+AJ159),0,+AJ159)</f>
        <v>90</v>
      </c>
    </row>
    <row r="9" spans="1:20" x14ac:dyDescent="0.2">
      <c r="A9" s="943" t="s">
        <v>1101</v>
      </c>
      <c r="B9" s="943"/>
      <c r="C9" s="943"/>
      <c r="D9" s="943"/>
      <c r="E9" s="93" t="str">
        <f>IF(AND(P2Q1="AC",quote16=3),"Y","N")</f>
        <v>N</v>
      </c>
      <c r="G9" s="128"/>
      <c r="I9" s="131"/>
      <c r="K9" s="128"/>
      <c r="N9" s="131"/>
      <c r="P9" s="943" t="s">
        <v>1134</v>
      </c>
      <c r="Q9" s="943"/>
      <c r="R9" s="943"/>
      <c r="S9" s="93">
        <f>IF(S7=0,0,+E3-S7)</f>
        <v>3232.8</v>
      </c>
    </row>
    <row r="10" spans="1:20" x14ac:dyDescent="0.2">
      <c r="A10" s="1036" t="s">
        <v>1910</v>
      </c>
      <c r="B10" s="943"/>
      <c r="C10" s="943"/>
      <c r="D10" s="943"/>
      <c r="E10" s="288" t="s">
        <v>313</v>
      </c>
    </row>
    <row r="11" spans="1:20" x14ac:dyDescent="0.2">
      <c r="G11" s="235"/>
      <c r="H11" s="285"/>
      <c r="I11" s="286"/>
      <c r="K11" s="235"/>
      <c r="L11" s="285"/>
      <c r="M11" s="285"/>
      <c r="N11" s="286"/>
      <c r="P11" s="943" t="s">
        <v>1135</v>
      </c>
      <c r="Q11" s="943"/>
      <c r="R11" s="943"/>
      <c r="S11" s="93">
        <f>IF(S8=0,0,+E3-S8)</f>
        <v>3262.8</v>
      </c>
      <c r="T11" s="288" t="s">
        <v>1955</v>
      </c>
    </row>
    <row r="12" spans="1:20" x14ac:dyDescent="0.2">
      <c r="A12" s="943" t="s">
        <v>1105</v>
      </c>
      <c r="B12" s="943"/>
      <c r="C12" s="943"/>
      <c r="D12" s="943"/>
      <c r="E12" s="93" t="str">
        <f>IF(quote23=1,"N","Y")</f>
        <v>Y</v>
      </c>
      <c r="G12" s="943" t="s">
        <v>760</v>
      </c>
      <c r="H12" s="943"/>
      <c r="I12" s="93" t="str">
        <f>IF(quote23=1,"N","Y")</f>
        <v>Y</v>
      </c>
      <c r="K12" s="943" t="s">
        <v>760</v>
      </c>
      <c r="L12" s="943"/>
      <c r="M12" s="117"/>
      <c r="N12" s="93" t="str">
        <f>IF(quote23=1,"N","Y")</f>
        <v>Y</v>
      </c>
    </row>
    <row r="13" spans="1:20" x14ac:dyDescent="0.2">
      <c r="A13" s="943" t="s">
        <v>1102</v>
      </c>
      <c r="B13" s="943"/>
      <c r="C13" s="943"/>
      <c r="D13" s="943"/>
      <c r="E13" s="93" t="str">
        <f>IF(quote23=1,"Y","N")</f>
        <v>N</v>
      </c>
      <c r="G13" s="943" t="s">
        <v>952</v>
      </c>
      <c r="H13" s="943"/>
      <c r="I13" s="266" t="s">
        <v>313</v>
      </c>
      <c r="K13" s="943" t="s">
        <v>952</v>
      </c>
      <c r="L13" s="943"/>
      <c r="M13" s="117"/>
      <c r="N13" s="266" t="s">
        <v>313</v>
      </c>
    </row>
    <row r="14" spans="1:20" x14ac:dyDescent="0.2">
      <c r="A14" s="943" t="s">
        <v>258</v>
      </c>
      <c r="B14" s="943"/>
      <c r="C14" s="943"/>
      <c r="D14" s="943"/>
      <c r="E14" s="444" t="s">
        <v>313</v>
      </c>
      <c r="F14" s="445" t="s">
        <v>259</v>
      </c>
    </row>
    <row r="15" spans="1:20" x14ac:dyDescent="0.2">
      <c r="A15" s="943" t="s">
        <v>1005</v>
      </c>
      <c r="B15" s="943"/>
      <c r="C15" s="943"/>
      <c r="D15" s="943"/>
      <c r="E15" s="281">
        <f>+quote53</f>
        <v>1</v>
      </c>
    </row>
    <row r="16" spans="1:20" x14ac:dyDescent="0.2">
      <c r="A16" s="943" t="s">
        <v>1104</v>
      </c>
      <c r="B16" s="943"/>
      <c r="C16" s="943"/>
      <c r="D16" s="943"/>
      <c r="E16" s="266">
        <v>1</v>
      </c>
    </row>
    <row r="18" spans="1:36" x14ac:dyDescent="0.2">
      <c r="A18" s="943" t="s">
        <v>1098</v>
      </c>
      <c r="B18" s="943"/>
      <c r="C18" s="943"/>
      <c r="D18" s="943"/>
      <c r="E18" s="266" t="s">
        <v>313</v>
      </c>
    </row>
    <row r="19" spans="1:36" x14ac:dyDescent="0.2">
      <c r="A19" s="943" t="s">
        <v>1099</v>
      </c>
      <c r="B19" s="943"/>
      <c r="C19" s="943"/>
      <c r="D19" s="943"/>
      <c r="E19" s="266" t="s">
        <v>313</v>
      </c>
    </row>
    <row r="21" spans="1:36" x14ac:dyDescent="0.2">
      <c r="A21" s="943" t="s">
        <v>1103</v>
      </c>
      <c r="B21" s="943"/>
      <c r="C21" s="943"/>
      <c r="D21" s="943"/>
      <c r="E21" s="93" t="str">
        <f>+quote51</f>
        <v>N</v>
      </c>
    </row>
    <row r="23" spans="1:36" x14ac:dyDescent="0.2">
      <c r="A23" s="1027" t="s">
        <v>997</v>
      </c>
      <c r="B23" s="1027"/>
      <c r="C23" s="1027"/>
      <c r="D23" s="1027"/>
      <c r="E23" s="1027"/>
      <c r="F23" s="1027"/>
      <c r="G23" s="1027"/>
      <c r="H23" s="1027"/>
      <c r="I23" s="1027"/>
      <c r="J23" s="273"/>
    </row>
    <row r="25" spans="1:36" x14ac:dyDescent="0.2">
      <c r="A25" s="1024" t="s">
        <v>998</v>
      </c>
      <c r="B25" s="1025"/>
      <c r="C25" s="1025"/>
      <c r="D25" s="1025"/>
      <c r="E25" s="1026"/>
    </row>
    <row r="26" spans="1:36" x14ac:dyDescent="0.2">
      <c r="B26" s="268" t="s">
        <v>966</v>
      </c>
      <c r="C26" s="1023" t="s">
        <v>948</v>
      </c>
      <c r="D26" s="1023"/>
      <c r="E26" s="268" t="s">
        <v>968</v>
      </c>
      <c r="G26" s="268" t="s">
        <v>962</v>
      </c>
      <c r="O26" s="268" t="s">
        <v>966</v>
      </c>
      <c r="Q26" s="268" t="s">
        <v>968</v>
      </c>
      <c r="S26" s="268" t="s">
        <v>962</v>
      </c>
      <c r="AF26" s="1030" t="s">
        <v>1093</v>
      </c>
      <c r="AG26" s="1031"/>
      <c r="AH26" s="283"/>
      <c r="AI26" s="283"/>
      <c r="AJ26" s="284"/>
    </row>
    <row r="27" spans="1:36" x14ac:dyDescent="0.2">
      <c r="A27" s="268" t="s">
        <v>955</v>
      </c>
      <c r="B27" s="268" t="s">
        <v>967</v>
      </c>
      <c r="C27" s="268" t="s">
        <v>964</v>
      </c>
      <c r="D27" s="268" t="s">
        <v>965</v>
      </c>
      <c r="E27" s="268" t="s">
        <v>942</v>
      </c>
      <c r="F27" s="269" t="s">
        <v>956</v>
      </c>
      <c r="G27" s="268" t="s">
        <v>963</v>
      </c>
      <c r="H27" s="269" t="s">
        <v>816</v>
      </c>
      <c r="I27" s="269" t="s">
        <v>991</v>
      </c>
      <c r="J27" s="268" t="s">
        <v>992</v>
      </c>
      <c r="K27" s="267" t="s">
        <v>951</v>
      </c>
      <c r="L27" s="267" t="s">
        <v>1240</v>
      </c>
      <c r="N27" s="268" t="s">
        <v>955</v>
      </c>
      <c r="O27" s="268" t="s">
        <v>967</v>
      </c>
      <c r="P27" s="268" t="s">
        <v>948</v>
      </c>
      <c r="Q27" s="268" t="s">
        <v>942</v>
      </c>
      <c r="R27" s="268" t="s">
        <v>956</v>
      </c>
      <c r="S27" s="268" t="s">
        <v>963</v>
      </c>
      <c r="T27" s="269" t="s">
        <v>816</v>
      </c>
      <c r="U27" s="269" t="s">
        <v>991</v>
      </c>
      <c r="V27" s="269" t="s">
        <v>992</v>
      </c>
      <c r="W27" s="280" t="s">
        <v>1078</v>
      </c>
      <c r="X27" s="280" t="s">
        <v>1077</v>
      </c>
      <c r="Y27" s="267" t="s">
        <v>951</v>
      </c>
      <c r="Z27" s="280" t="s">
        <v>1077</v>
      </c>
      <c r="AA27" s="267" t="s">
        <v>1240</v>
      </c>
      <c r="AC27" s="288" t="s">
        <v>951</v>
      </c>
      <c r="AD27" s="93" t="str">
        <f>IF(quote59&lt;&gt;0,(IF(VLOOKUP("Y",$W$28:$AA$51,2,FALSE)="Y",VLOOKUP("Y",$W$28:$AA$51,3,FALSE),IF(LEN(P0Q2=3),VLOOKUP("Y",$W$28:$AA$51,3,FALSE)&amp;".0"&amp;+P0Q2,VLOOKUP("Y",$W$28:$AA$51,3,FALSE)&amp;".00"&amp;+P0Q2)))," ")</f>
        <v>1B.AC8</v>
      </c>
      <c r="AF27" s="272" t="s">
        <v>717</v>
      </c>
      <c r="AG27" s="272" t="s">
        <v>1094</v>
      </c>
      <c r="AI27" s="50" t="s">
        <v>717</v>
      </c>
      <c r="AJ27" s="50" t="s">
        <v>1094</v>
      </c>
    </row>
    <row r="28" spans="1:36" x14ac:dyDescent="0.2">
      <c r="A28" s="117" t="s">
        <v>697</v>
      </c>
      <c r="B28" s="265">
        <v>2</v>
      </c>
      <c r="C28" s="265">
        <v>0</v>
      </c>
      <c r="D28" s="265">
        <v>800</v>
      </c>
      <c r="E28" s="117" t="s">
        <v>313</v>
      </c>
      <c r="F28" s="265"/>
      <c r="G28" s="265" t="s">
        <v>313</v>
      </c>
      <c r="H28" s="265" t="s">
        <v>313</v>
      </c>
      <c r="I28" s="265" t="s">
        <v>313</v>
      </c>
      <c r="J28" s="265" t="s">
        <v>313</v>
      </c>
      <c r="K28" s="267" t="s">
        <v>1065</v>
      </c>
      <c r="L28" s="117"/>
      <c r="N28" s="117">
        <f t="shared" ref="N28:N51" si="0">IF(A28=$E$6,1,0)</f>
        <v>0</v>
      </c>
      <c r="O28" s="265">
        <f t="shared" ref="O28:O51" si="1">IF($E$16&lt;=B28,1,0)</f>
        <v>1</v>
      </c>
      <c r="P28" s="265">
        <f>IF(AND($E$2&gt;=C28,$E$2&lt;=D28),1,0)</f>
        <v>1</v>
      </c>
      <c r="Q28" s="117">
        <f t="shared" ref="Q28:Q51" si="2">IF(E28=$E$9,1,0)</f>
        <v>1</v>
      </c>
      <c r="R28" s="265">
        <f t="shared" ref="R28:R51" si="3">IF(F28=0,1,IF(F28=$E$8,1,0))</f>
        <v>1</v>
      </c>
      <c r="S28" s="275">
        <f>IF(quote59="AA",1,IF(G28=$E$21,1,0))</f>
        <v>1</v>
      </c>
      <c r="T28" s="523">
        <f t="shared" ref="T28:T42" si="4">IF(H28=$E$10,1,0)</f>
        <v>1</v>
      </c>
      <c r="U28" s="265">
        <f t="shared" ref="U28:U51" si="5">IF(I28=$E$18,1,0)</f>
        <v>1</v>
      </c>
      <c r="V28" s="265">
        <f t="shared" ref="V28:V51" si="6">IF(J28=$E$19,1,0)</f>
        <v>1</v>
      </c>
      <c r="W28" s="280" t="str">
        <f>IF(Y28&lt;&gt;0,"Y"," ")</f>
        <v xml:space="preserve"> </v>
      </c>
      <c r="X28" s="280" t="s">
        <v>715</v>
      </c>
      <c r="Y28" s="117">
        <f>IF(MIN($N28:$V28)=1,+K28,)</f>
        <v>0</v>
      </c>
      <c r="Z28" s="280" t="s">
        <v>715</v>
      </c>
      <c r="AA28" s="117">
        <f t="shared" ref="AA28:AA51" si="7">IF(MIN($N28:$V28)=1,+L28,)</f>
        <v>0</v>
      </c>
      <c r="AC28" s="288" t="s">
        <v>1240</v>
      </c>
      <c r="AD28" s="93">
        <f>IF(quote59&lt;&gt;0,(IF(VLOOKUP("Y",$W$28:$AA$51,4,FALSE)="Y",VLOOKUP("Y",$W$28:$AA$51,5,FALSE),IF(P0Q2&gt;99,VLOOKUP("Y",$W$28:$AA$51,5,FALSE)&amp;".0"&amp;+P0Q2,VLOOKUP("Y",$W$28:$AA$51,5,FALSE)&amp;".00"&amp;+P0Q2)))," ")</f>
        <v>0</v>
      </c>
      <c r="AF28" s="117">
        <v>60</v>
      </c>
      <c r="AG28" s="117">
        <v>45</v>
      </c>
      <c r="AI28" s="50">
        <f>VLOOKUP("Y",W28:AG51,10,FALSE)</f>
        <v>60</v>
      </c>
      <c r="AJ28" s="50">
        <f>VLOOKUP("y",W28:AG51,11,FALSE)</f>
        <v>45</v>
      </c>
    </row>
    <row r="29" spans="1:36" x14ac:dyDescent="0.2">
      <c r="A29" s="117" t="s">
        <v>698</v>
      </c>
      <c r="B29" s="265">
        <v>1</v>
      </c>
      <c r="C29" s="265">
        <v>0</v>
      </c>
      <c r="D29" s="265">
        <v>300</v>
      </c>
      <c r="E29" s="117" t="s">
        <v>313</v>
      </c>
      <c r="F29" s="265"/>
      <c r="G29" s="265" t="s">
        <v>313</v>
      </c>
      <c r="H29" s="265" t="s">
        <v>313</v>
      </c>
      <c r="I29" s="265" t="s">
        <v>313</v>
      </c>
      <c r="J29" s="265" t="s">
        <v>313</v>
      </c>
      <c r="K29" s="275" t="s">
        <v>1012</v>
      </c>
      <c r="L29" s="117"/>
      <c r="N29" s="117">
        <f t="shared" si="0"/>
        <v>1</v>
      </c>
      <c r="O29" s="265">
        <f t="shared" si="1"/>
        <v>1</v>
      </c>
      <c r="P29" s="265">
        <f t="shared" ref="P29:P51" si="8">IF(AND($E$2&gt;=C29,$E$2&lt;=D29),1,0)</f>
        <v>0</v>
      </c>
      <c r="Q29" s="117">
        <f t="shared" si="2"/>
        <v>1</v>
      </c>
      <c r="R29" s="265">
        <f t="shared" si="3"/>
        <v>1</v>
      </c>
      <c r="S29" s="265">
        <f t="shared" ref="S29:S51" si="9">IF(OR(P0Q5="N/A",G29=$E$21),1,0)</f>
        <v>1</v>
      </c>
      <c r="T29" s="523">
        <f t="shared" si="4"/>
        <v>1</v>
      </c>
      <c r="U29" s="265">
        <f t="shared" si="5"/>
        <v>1</v>
      </c>
      <c r="V29" s="265">
        <f t="shared" si="6"/>
        <v>1</v>
      </c>
      <c r="W29" s="280" t="str">
        <f t="shared" ref="W29:W51" si="10">IF(Y29&lt;&gt;0,"Y"," ")</f>
        <v xml:space="preserve"> </v>
      </c>
      <c r="X29" s="280" t="s">
        <v>715</v>
      </c>
      <c r="Y29" s="117">
        <f t="shared" ref="Y29:Y51" si="11">IF(MIN($N29:$V29)=1,+K29,)</f>
        <v>0</v>
      </c>
      <c r="Z29" s="280" t="s">
        <v>715</v>
      </c>
      <c r="AA29" s="117">
        <f t="shared" si="7"/>
        <v>0</v>
      </c>
      <c r="AF29" s="117">
        <v>60</v>
      </c>
      <c r="AG29" s="117">
        <v>45</v>
      </c>
      <c r="AJ29" s="131"/>
    </row>
    <row r="30" spans="1:36" x14ac:dyDescent="0.2">
      <c r="A30" s="117" t="s">
        <v>698</v>
      </c>
      <c r="B30" s="265">
        <v>2</v>
      </c>
      <c r="C30" s="265">
        <v>400</v>
      </c>
      <c r="D30" s="265">
        <v>800</v>
      </c>
      <c r="E30" s="117" t="s">
        <v>313</v>
      </c>
      <c r="F30" s="265"/>
      <c r="G30" s="265" t="s">
        <v>313</v>
      </c>
      <c r="H30" s="265" t="s">
        <v>313</v>
      </c>
      <c r="I30" s="265" t="s">
        <v>313</v>
      </c>
      <c r="J30" s="265" t="s">
        <v>313</v>
      </c>
      <c r="K30" s="275" t="s">
        <v>1012</v>
      </c>
      <c r="L30" s="117"/>
      <c r="N30" s="117">
        <f t="shared" si="0"/>
        <v>1</v>
      </c>
      <c r="O30" s="265">
        <f t="shared" si="1"/>
        <v>1</v>
      </c>
      <c r="P30" s="265">
        <f t="shared" si="8"/>
        <v>1</v>
      </c>
      <c r="Q30" s="117">
        <f t="shared" si="2"/>
        <v>1</v>
      </c>
      <c r="R30" s="265">
        <f t="shared" si="3"/>
        <v>1</v>
      </c>
      <c r="S30" s="265">
        <f t="shared" si="9"/>
        <v>1</v>
      </c>
      <c r="T30" s="523">
        <f t="shared" si="4"/>
        <v>1</v>
      </c>
      <c r="U30" s="265">
        <f t="shared" si="5"/>
        <v>1</v>
      </c>
      <c r="V30" s="265">
        <f t="shared" si="6"/>
        <v>1</v>
      </c>
      <c r="W30" s="280" t="str">
        <f t="shared" si="10"/>
        <v>Y</v>
      </c>
      <c r="X30" s="280" t="s">
        <v>715</v>
      </c>
      <c r="Y30" s="117" t="str">
        <f t="shared" si="11"/>
        <v>1B.AC8</v>
      </c>
      <c r="Z30" s="280" t="s">
        <v>715</v>
      </c>
      <c r="AA30" s="117">
        <f t="shared" si="7"/>
        <v>0</v>
      </c>
      <c r="AF30" s="117">
        <v>60</v>
      </c>
      <c r="AG30" s="117">
        <v>45</v>
      </c>
      <c r="AJ30" s="131"/>
    </row>
    <row r="31" spans="1:36" x14ac:dyDescent="0.2">
      <c r="A31" s="117" t="s">
        <v>698</v>
      </c>
      <c r="B31" s="265">
        <v>1</v>
      </c>
      <c r="C31" s="265">
        <v>0</v>
      </c>
      <c r="D31" s="265">
        <v>300</v>
      </c>
      <c r="E31" s="117" t="s">
        <v>715</v>
      </c>
      <c r="F31" s="265"/>
      <c r="G31" s="265" t="s">
        <v>313</v>
      </c>
      <c r="H31" s="265" t="s">
        <v>313</v>
      </c>
      <c r="I31" s="265" t="s">
        <v>313</v>
      </c>
      <c r="J31" s="265" t="s">
        <v>313</v>
      </c>
      <c r="K31" s="396" t="s">
        <v>1012</v>
      </c>
      <c r="L31" s="117"/>
      <c r="N31" s="117">
        <f t="shared" si="0"/>
        <v>1</v>
      </c>
      <c r="O31" s="265">
        <f t="shared" si="1"/>
        <v>1</v>
      </c>
      <c r="P31" s="265">
        <f t="shared" si="8"/>
        <v>0</v>
      </c>
      <c r="Q31" s="117">
        <f t="shared" si="2"/>
        <v>0</v>
      </c>
      <c r="R31" s="265">
        <f t="shared" si="3"/>
        <v>1</v>
      </c>
      <c r="S31" s="265">
        <f t="shared" si="9"/>
        <v>1</v>
      </c>
      <c r="T31" s="523">
        <f t="shared" si="4"/>
        <v>1</v>
      </c>
      <c r="U31" s="265">
        <f t="shared" si="5"/>
        <v>1</v>
      </c>
      <c r="V31" s="265">
        <f t="shared" si="6"/>
        <v>1</v>
      </c>
      <c r="W31" s="280" t="str">
        <f t="shared" si="10"/>
        <v xml:space="preserve"> </v>
      </c>
      <c r="X31" s="280" t="s">
        <v>715</v>
      </c>
      <c r="Y31" s="117">
        <f t="shared" si="11"/>
        <v>0</v>
      </c>
      <c r="Z31" s="280" t="s">
        <v>715</v>
      </c>
      <c r="AA31" s="117">
        <f t="shared" si="7"/>
        <v>0</v>
      </c>
      <c r="AF31" s="117">
        <v>60</v>
      </c>
      <c r="AG31" s="117">
        <v>45</v>
      </c>
      <c r="AJ31" s="131"/>
    </row>
    <row r="32" spans="1:36" x14ac:dyDescent="0.2">
      <c r="A32" s="117" t="s">
        <v>698</v>
      </c>
      <c r="B32" s="265">
        <v>2</v>
      </c>
      <c r="C32" s="265">
        <v>400</v>
      </c>
      <c r="D32" s="265">
        <v>800</v>
      </c>
      <c r="E32" s="117" t="s">
        <v>715</v>
      </c>
      <c r="F32" s="265"/>
      <c r="G32" s="265" t="s">
        <v>313</v>
      </c>
      <c r="H32" s="265" t="s">
        <v>313</v>
      </c>
      <c r="I32" s="265" t="s">
        <v>313</v>
      </c>
      <c r="J32" s="265" t="s">
        <v>313</v>
      </c>
      <c r="K32" s="396" t="s">
        <v>1012</v>
      </c>
      <c r="L32" s="117"/>
      <c r="N32" s="117">
        <f t="shared" si="0"/>
        <v>1</v>
      </c>
      <c r="O32" s="265">
        <f t="shared" si="1"/>
        <v>1</v>
      </c>
      <c r="P32" s="265">
        <f t="shared" si="8"/>
        <v>1</v>
      </c>
      <c r="Q32" s="117">
        <f t="shared" si="2"/>
        <v>0</v>
      </c>
      <c r="R32" s="265">
        <f t="shared" si="3"/>
        <v>1</v>
      </c>
      <c r="S32" s="265">
        <f t="shared" si="9"/>
        <v>1</v>
      </c>
      <c r="T32" s="523">
        <f t="shared" si="4"/>
        <v>1</v>
      </c>
      <c r="U32" s="265">
        <f t="shared" si="5"/>
        <v>1</v>
      </c>
      <c r="V32" s="265">
        <f t="shared" si="6"/>
        <v>1</v>
      </c>
      <c r="W32" s="280" t="str">
        <f t="shared" si="10"/>
        <v xml:space="preserve"> </v>
      </c>
      <c r="X32" s="280" t="s">
        <v>715</v>
      </c>
      <c r="Y32" s="117">
        <f t="shared" si="11"/>
        <v>0</v>
      </c>
      <c r="Z32" s="280" t="s">
        <v>715</v>
      </c>
      <c r="AA32" s="117">
        <f t="shared" si="7"/>
        <v>0</v>
      </c>
      <c r="AF32" s="117">
        <v>60</v>
      </c>
      <c r="AG32" s="117">
        <v>45</v>
      </c>
      <c r="AJ32" s="131"/>
    </row>
    <row r="33" spans="1:37" ht="14.25" x14ac:dyDescent="0.2">
      <c r="A33" s="117" t="s">
        <v>699</v>
      </c>
      <c r="B33" s="265">
        <v>1</v>
      </c>
      <c r="C33" s="265">
        <v>0</v>
      </c>
      <c r="D33" s="265">
        <v>300</v>
      </c>
      <c r="E33" s="117" t="s">
        <v>313</v>
      </c>
      <c r="F33" s="117" t="s">
        <v>395</v>
      </c>
      <c r="G33" s="117" t="s">
        <v>715</v>
      </c>
      <c r="H33" s="265" t="s">
        <v>313</v>
      </c>
      <c r="I33" s="265" t="s">
        <v>313</v>
      </c>
      <c r="J33" s="265" t="s">
        <v>313</v>
      </c>
      <c r="K33" s="267" t="s">
        <v>953</v>
      </c>
      <c r="L33" s="117"/>
      <c r="N33" s="117">
        <f t="shared" si="0"/>
        <v>0</v>
      </c>
      <c r="O33" s="265">
        <f t="shared" si="1"/>
        <v>1</v>
      </c>
      <c r="P33" s="265">
        <f t="shared" si="8"/>
        <v>0</v>
      </c>
      <c r="Q33" s="117">
        <f t="shared" si="2"/>
        <v>1</v>
      </c>
      <c r="R33" s="265">
        <f t="shared" si="3"/>
        <v>0</v>
      </c>
      <c r="S33" s="265">
        <f t="shared" si="9"/>
        <v>0</v>
      </c>
      <c r="T33" s="523">
        <f t="shared" si="4"/>
        <v>1</v>
      </c>
      <c r="U33" s="265">
        <f t="shared" si="5"/>
        <v>1</v>
      </c>
      <c r="V33" s="265">
        <f t="shared" si="6"/>
        <v>1</v>
      </c>
      <c r="W33" s="280" t="str">
        <f t="shared" si="10"/>
        <v xml:space="preserve"> </v>
      </c>
      <c r="X33" s="280" t="s">
        <v>715</v>
      </c>
      <c r="Y33" s="117">
        <f t="shared" si="11"/>
        <v>0</v>
      </c>
      <c r="Z33" s="280" t="s">
        <v>715</v>
      </c>
      <c r="AA33" s="117">
        <f t="shared" si="7"/>
        <v>0</v>
      </c>
      <c r="AD33" s="92"/>
      <c r="AE33" s="92"/>
      <c r="AF33" s="117">
        <v>60</v>
      </c>
      <c r="AG33" s="117">
        <v>45</v>
      </c>
      <c r="AH33" s="92"/>
      <c r="AI33" s="92"/>
      <c r="AJ33" s="95"/>
      <c r="AK33" s="92"/>
    </row>
    <row r="34" spans="1:37" x14ac:dyDescent="0.2">
      <c r="A34" s="117" t="s">
        <v>699</v>
      </c>
      <c r="B34" s="265">
        <v>1</v>
      </c>
      <c r="C34" s="265">
        <v>0</v>
      </c>
      <c r="D34" s="265">
        <v>300</v>
      </c>
      <c r="E34" s="117" t="s">
        <v>313</v>
      </c>
      <c r="F34" s="117" t="s">
        <v>396</v>
      </c>
      <c r="G34" s="117" t="s">
        <v>715</v>
      </c>
      <c r="H34" s="265" t="s">
        <v>313</v>
      </c>
      <c r="I34" s="265" t="s">
        <v>313</v>
      </c>
      <c r="J34" s="265" t="s">
        <v>313</v>
      </c>
      <c r="K34" s="267" t="s">
        <v>954</v>
      </c>
      <c r="L34" s="117"/>
      <c r="N34" s="117">
        <f t="shared" si="0"/>
        <v>0</v>
      </c>
      <c r="O34" s="265">
        <f t="shared" si="1"/>
        <v>1</v>
      </c>
      <c r="P34" s="265">
        <f t="shared" si="8"/>
        <v>0</v>
      </c>
      <c r="Q34" s="117">
        <f t="shared" si="2"/>
        <v>1</v>
      </c>
      <c r="R34" s="265">
        <f t="shared" si="3"/>
        <v>1</v>
      </c>
      <c r="S34" s="265">
        <f t="shared" si="9"/>
        <v>0</v>
      </c>
      <c r="T34" s="523">
        <f t="shared" si="4"/>
        <v>1</v>
      </c>
      <c r="U34" s="265">
        <f t="shared" si="5"/>
        <v>1</v>
      </c>
      <c r="V34" s="265">
        <f t="shared" si="6"/>
        <v>1</v>
      </c>
      <c r="W34" s="280" t="str">
        <f t="shared" si="10"/>
        <v xml:space="preserve"> </v>
      </c>
      <c r="X34" s="280" t="s">
        <v>715</v>
      </c>
      <c r="Y34" s="117">
        <f t="shared" si="11"/>
        <v>0</v>
      </c>
      <c r="Z34" s="280" t="s">
        <v>715</v>
      </c>
      <c r="AA34" s="117">
        <f t="shared" si="7"/>
        <v>0</v>
      </c>
      <c r="AF34" s="117">
        <v>60</v>
      </c>
      <c r="AG34" s="117">
        <v>45</v>
      </c>
      <c r="AJ34" s="131"/>
    </row>
    <row r="35" spans="1:37" x14ac:dyDescent="0.2">
      <c r="A35" s="117" t="s">
        <v>699</v>
      </c>
      <c r="B35" s="265">
        <v>2</v>
      </c>
      <c r="C35" s="265">
        <v>400</v>
      </c>
      <c r="D35" s="265">
        <v>800</v>
      </c>
      <c r="E35" s="117" t="s">
        <v>313</v>
      </c>
      <c r="F35" s="117" t="s">
        <v>395</v>
      </c>
      <c r="G35" s="117" t="s">
        <v>715</v>
      </c>
      <c r="H35" s="265" t="s">
        <v>313</v>
      </c>
      <c r="I35" s="265" t="s">
        <v>313</v>
      </c>
      <c r="J35" s="265" t="s">
        <v>313</v>
      </c>
      <c r="K35" s="267" t="s">
        <v>949</v>
      </c>
      <c r="L35" s="117"/>
      <c r="N35" s="117">
        <f t="shared" si="0"/>
        <v>0</v>
      </c>
      <c r="O35" s="265">
        <f t="shared" si="1"/>
        <v>1</v>
      </c>
      <c r="P35" s="265">
        <f t="shared" si="8"/>
        <v>1</v>
      </c>
      <c r="Q35" s="117">
        <f t="shared" si="2"/>
        <v>1</v>
      </c>
      <c r="R35" s="265">
        <f t="shared" si="3"/>
        <v>0</v>
      </c>
      <c r="S35" s="265">
        <f t="shared" si="9"/>
        <v>0</v>
      </c>
      <c r="T35" s="523">
        <f t="shared" si="4"/>
        <v>1</v>
      </c>
      <c r="U35" s="265">
        <f t="shared" si="5"/>
        <v>1</v>
      </c>
      <c r="V35" s="265">
        <f t="shared" si="6"/>
        <v>1</v>
      </c>
      <c r="W35" s="280" t="str">
        <f t="shared" si="10"/>
        <v xml:space="preserve"> </v>
      </c>
      <c r="X35" s="280" t="s">
        <v>715</v>
      </c>
      <c r="Y35" s="117">
        <f t="shared" si="11"/>
        <v>0</v>
      </c>
      <c r="Z35" s="280" t="s">
        <v>715</v>
      </c>
      <c r="AA35" s="117">
        <f t="shared" si="7"/>
        <v>0</v>
      </c>
      <c r="AF35" s="117">
        <v>60</v>
      </c>
      <c r="AG35" s="117">
        <v>45</v>
      </c>
      <c r="AJ35" s="131"/>
    </row>
    <row r="36" spans="1:37" x14ac:dyDescent="0.2">
      <c r="A36" s="117" t="s">
        <v>699</v>
      </c>
      <c r="B36" s="265">
        <v>2</v>
      </c>
      <c r="C36" s="265">
        <v>400</v>
      </c>
      <c r="D36" s="265">
        <v>800</v>
      </c>
      <c r="E36" s="117" t="s">
        <v>313</v>
      </c>
      <c r="F36" s="117" t="s">
        <v>396</v>
      </c>
      <c r="G36" s="117" t="s">
        <v>715</v>
      </c>
      <c r="H36" s="265" t="s">
        <v>313</v>
      </c>
      <c r="I36" s="265" t="s">
        <v>313</v>
      </c>
      <c r="J36" s="265" t="s">
        <v>313</v>
      </c>
      <c r="K36" s="267" t="s">
        <v>950</v>
      </c>
      <c r="L36" s="117"/>
      <c r="N36" s="117">
        <f t="shared" si="0"/>
        <v>0</v>
      </c>
      <c r="O36" s="265">
        <f t="shared" si="1"/>
        <v>1</v>
      </c>
      <c r="P36" s="265">
        <f t="shared" si="8"/>
        <v>1</v>
      </c>
      <c r="Q36" s="117">
        <f t="shared" si="2"/>
        <v>1</v>
      </c>
      <c r="R36" s="265">
        <f t="shared" si="3"/>
        <v>1</v>
      </c>
      <c r="S36" s="265">
        <f t="shared" si="9"/>
        <v>0</v>
      </c>
      <c r="T36" s="523">
        <f t="shared" si="4"/>
        <v>1</v>
      </c>
      <c r="U36" s="265">
        <f t="shared" si="5"/>
        <v>1</v>
      </c>
      <c r="V36" s="265">
        <f t="shared" si="6"/>
        <v>1</v>
      </c>
      <c r="W36" s="280" t="str">
        <f t="shared" si="10"/>
        <v xml:space="preserve"> </v>
      </c>
      <c r="X36" s="280" t="s">
        <v>715</v>
      </c>
      <c r="Y36" s="117">
        <f t="shared" si="11"/>
        <v>0</v>
      </c>
      <c r="Z36" s="280" t="s">
        <v>715</v>
      </c>
      <c r="AA36" s="117">
        <f t="shared" si="7"/>
        <v>0</v>
      </c>
      <c r="AF36" s="117">
        <v>60</v>
      </c>
      <c r="AG36" s="117">
        <v>45</v>
      </c>
      <c r="AJ36" s="131"/>
    </row>
    <row r="37" spans="1:37" x14ac:dyDescent="0.2">
      <c r="A37" s="117" t="s">
        <v>691</v>
      </c>
      <c r="B37" s="265">
        <v>2</v>
      </c>
      <c r="C37" s="265">
        <v>0</v>
      </c>
      <c r="D37" s="265">
        <v>800</v>
      </c>
      <c r="E37" s="117" t="s">
        <v>313</v>
      </c>
      <c r="F37" s="117" t="s">
        <v>395</v>
      </c>
      <c r="G37" s="117" t="s">
        <v>313</v>
      </c>
      <c r="H37" s="265" t="s">
        <v>313</v>
      </c>
      <c r="I37" s="265" t="s">
        <v>313</v>
      </c>
      <c r="J37" s="265" t="s">
        <v>313</v>
      </c>
      <c r="K37" s="396" t="s">
        <v>1013</v>
      </c>
      <c r="L37" s="117"/>
      <c r="N37" s="117">
        <f t="shared" si="0"/>
        <v>0</v>
      </c>
      <c r="O37" s="265">
        <f t="shared" si="1"/>
        <v>1</v>
      </c>
      <c r="P37" s="265">
        <f t="shared" si="8"/>
        <v>1</v>
      </c>
      <c r="Q37" s="117">
        <f t="shared" si="2"/>
        <v>1</v>
      </c>
      <c r="R37" s="265">
        <f t="shared" si="3"/>
        <v>0</v>
      </c>
      <c r="S37" s="265">
        <f t="shared" si="9"/>
        <v>1</v>
      </c>
      <c r="T37" s="523">
        <f t="shared" si="4"/>
        <v>1</v>
      </c>
      <c r="U37" s="265">
        <f t="shared" si="5"/>
        <v>1</v>
      </c>
      <c r="V37" s="265">
        <f t="shared" si="6"/>
        <v>1</v>
      </c>
      <c r="W37" s="280" t="str">
        <f t="shared" si="10"/>
        <v xml:space="preserve"> </v>
      </c>
      <c r="X37" s="280" t="s">
        <v>715</v>
      </c>
      <c r="Y37" s="117">
        <f t="shared" si="11"/>
        <v>0</v>
      </c>
      <c r="Z37" s="280" t="s">
        <v>715</v>
      </c>
      <c r="AA37" s="117">
        <f t="shared" si="7"/>
        <v>0</v>
      </c>
      <c r="AF37" s="117">
        <v>60</v>
      </c>
      <c r="AG37" s="117">
        <v>45</v>
      </c>
      <c r="AJ37" s="131"/>
    </row>
    <row r="38" spans="1:37" x14ac:dyDescent="0.2">
      <c r="A38" s="117" t="s">
        <v>691</v>
      </c>
      <c r="B38" s="265">
        <v>2</v>
      </c>
      <c r="C38" s="265">
        <v>0</v>
      </c>
      <c r="D38" s="265">
        <v>800</v>
      </c>
      <c r="E38" s="117" t="s">
        <v>313</v>
      </c>
      <c r="F38" s="117" t="s">
        <v>396</v>
      </c>
      <c r="G38" s="117" t="s">
        <v>313</v>
      </c>
      <c r="H38" s="265" t="s">
        <v>313</v>
      </c>
      <c r="I38" s="265" t="s">
        <v>313</v>
      </c>
      <c r="J38" s="265" t="s">
        <v>313</v>
      </c>
      <c r="K38" s="396" t="s">
        <v>1014</v>
      </c>
      <c r="L38" s="117"/>
      <c r="N38" s="117">
        <f t="shared" si="0"/>
        <v>0</v>
      </c>
      <c r="O38" s="265">
        <f t="shared" si="1"/>
        <v>1</v>
      </c>
      <c r="P38" s="265">
        <f t="shared" si="8"/>
        <v>1</v>
      </c>
      <c r="Q38" s="117">
        <f t="shared" si="2"/>
        <v>1</v>
      </c>
      <c r="R38" s="265">
        <f t="shared" si="3"/>
        <v>1</v>
      </c>
      <c r="S38" s="265">
        <f t="shared" si="9"/>
        <v>1</v>
      </c>
      <c r="T38" s="523">
        <f t="shared" si="4"/>
        <v>1</v>
      </c>
      <c r="U38" s="265">
        <f t="shared" si="5"/>
        <v>1</v>
      </c>
      <c r="V38" s="265">
        <f t="shared" si="6"/>
        <v>1</v>
      </c>
      <c r="W38" s="280" t="str">
        <f t="shared" si="10"/>
        <v xml:space="preserve"> </v>
      </c>
      <c r="X38" s="280" t="s">
        <v>715</v>
      </c>
      <c r="Y38" s="117">
        <f t="shared" si="11"/>
        <v>0</v>
      </c>
      <c r="Z38" s="280" t="s">
        <v>715</v>
      </c>
      <c r="AA38" s="117">
        <f t="shared" si="7"/>
        <v>0</v>
      </c>
      <c r="AF38" s="117">
        <v>60</v>
      </c>
      <c r="AG38" s="117">
        <v>45</v>
      </c>
      <c r="AJ38" s="131"/>
    </row>
    <row r="39" spans="1:37" x14ac:dyDescent="0.2">
      <c r="A39" s="117" t="s">
        <v>702</v>
      </c>
      <c r="B39" s="265">
        <v>2</v>
      </c>
      <c r="C39" s="265">
        <v>0</v>
      </c>
      <c r="D39" s="265">
        <v>800</v>
      </c>
      <c r="E39" s="117" t="s">
        <v>313</v>
      </c>
      <c r="F39" s="117" t="s">
        <v>395</v>
      </c>
      <c r="G39" s="117" t="s">
        <v>313</v>
      </c>
      <c r="H39" s="265" t="s">
        <v>313</v>
      </c>
      <c r="I39" s="265" t="s">
        <v>313</v>
      </c>
      <c r="J39" s="265" t="s">
        <v>313</v>
      </c>
      <c r="K39" s="267" t="s">
        <v>959</v>
      </c>
      <c r="L39" s="117"/>
      <c r="N39" s="117">
        <f t="shared" si="0"/>
        <v>0</v>
      </c>
      <c r="O39" s="265">
        <f t="shared" si="1"/>
        <v>1</v>
      </c>
      <c r="P39" s="265">
        <f t="shared" si="8"/>
        <v>1</v>
      </c>
      <c r="Q39" s="117">
        <f t="shared" si="2"/>
        <v>1</v>
      </c>
      <c r="R39" s="265">
        <f t="shared" si="3"/>
        <v>0</v>
      </c>
      <c r="S39" s="265">
        <f t="shared" si="9"/>
        <v>1</v>
      </c>
      <c r="T39" s="265">
        <f t="shared" si="4"/>
        <v>1</v>
      </c>
      <c r="U39" s="265">
        <f t="shared" si="5"/>
        <v>1</v>
      </c>
      <c r="V39" s="265">
        <f t="shared" si="6"/>
        <v>1</v>
      </c>
      <c r="W39" s="280" t="str">
        <f t="shared" si="10"/>
        <v xml:space="preserve"> </v>
      </c>
      <c r="X39" s="280" t="s">
        <v>715</v>
      </c>
      <c r="Y39" s="117">
        <f t="shared" si="11"/>
        <v>0</v>
      </c>
      <c r="Z39" s="280" t="s">
        <v>715</v>
      </c>
      <c r="AA39" s="117">
        <f t="shared" si="7"/>
        <v>0</v>
      </c>
      <c r="AF39" s="117">
        <v>60</v>
      </c>
      <c r="AG39" s="117">
        <v>45</v>
      </c>
      <c r="AJ39" s="131"/>
    </row>
    <row r="40" spans="1:37" x14ac:dyDescent="0.2">
      <c r="A40" s="117" t="s">
        <v>702</v>
      </c>
      <c r="B40" s="265">
        <v>2</v>
      </c>
      <c r="C40" s="265">
        <v>0</v>
      </c>
      <c r="D40" s="265">
        <v>800</v>
      </c>
      <c r="E40" s="117" t="s">
        <v>313</v>
      </c>
      <c r="F40" s="117" t="s">
        <v>395</v>
      </c>
      <c r="G40" s="117" t="s">
        <v>313</v>
      </c>
      <c r="H40" s="522" t="s">
        <v>715</v>
      </c>
      <c r="I40" s="265" t="s">
        <v>313</v>
      </c>
      <c r="J40" s="265" t="s">
        <v>313</v>
      </c>
      <c r="K40" s="267" t="s">
        <v>960</v>
      </c>
      <c r="L40" s="117"/>
      <c r="N40" s="117">
        <f>IF(A40=$E$6,1,0)</f>
        <v>0</v>
      </c>
      <c r="O40" s="265">
        <f>IF($E$16&lt;=B40,1,0)</f>
        <v>1</v>
      </c>
      <c r="P40" s="265">
        <f>IF(AND($E$2&gt;=C40,$E$2&lt;=D40),1,0)</f>
        <v>1</v>
      </c>
      <c r="Q40" s="117">
        <f>IF(E40=$E$9,1,0)</f>
        <v>1</v>
      </c>
      <c r="R40" s="265">
        <f>IF(F40=0,1,IF(F40=$E$8,1,0))</f>
        <v>0</v>
      </c>
      <c r="S40" s="265">
        <f>IF(OR(P0Q5="N/A",G40=$E$21),1,0)</f>
        <v>1</v>
      </c>
      <c r="T40" s="265">
        <f t="shared" si="4"/>
        <v>0</v>
      </c>
      <c r="U40" s="265">
        <f>IF(I40=$E$18,1,0)</f>
        <v>1</v>
      </c>
      <c r="V40" s="265">
        <f>IF(J40=$E$19,1,0)</f>
        <v>1</v>
      </c>
      <c r="W40" s="280" t="str">
        <f>IF(Y40&lt;&gt;0,"Y"," ")</f>
        <v xml:space="preserve"> </v>
      </c>
      <c r="X40" s="280" t="s">
        <v>715</v>
      </c>
      <c r="Y40" s="117">
        <f>IF(MIN($N40:$V40)=1,+K40,)</f>
        <v>0</v>
      </c>
      <c r="Z40" s="280" t="s">
        <v>715</v>
      </c>
      <c r="AA40" s="117">
        <f>IF(MIN($N40:$V40)=1,+L40,)</f>
        <v>0</v>
      </c>
      <c r="AF40" s="117">
        <v>60</v>
      </c>
      <c r="AG40" s="117">
        <v>45</v>
      </c>
      <c r="AJ40" s="131"/>
    </row>
    <row r="41" spans="1:37" x14ac:dyDescent="0.2">
      <c r="A41" s="117" t="s">
        <v>702</v>
      </c>
      <c r="B41" s="265">
        <v>2</v>
      </c>
      <c r="C41" s="265">
        <v>0</v>
      </c>
      <c r="D41" s="265">
        <v>800</v>
      </c>
      <c r="E41" s="117" t="s">
        <v>313</v>
      </c>
      <c r="F41" s="117" t="s">
        <v>396</v>
      </c>
      <c r="G41" s="117" t="s">
        <v>313</v>
      </c>
      <c r="H41" s="265" t="s">
        <v>313</v>
      </c>
      <c r="I41" s="265" t="s">
        <v>313</v>
      </c>
      <c r="J41" s="265" t="s">
        <v>313</v>
      </c>
      <c r="K41" s="267" t="s">
        <v>960</v>
      </c>
      <c r="L41" s="117"/>
      <c r="N41" s="117">
        <f t="shared" si="0"/>
        <v>0</v>
      </c>
      <c r="O41" s="265">
        <f t="shared" si="1"/>
        <v>1</v>
      </c>
      <c r="P41" s="265">
        <f t="shared" si="8"/>
        <v>1</v>
      </c>
      <c r="Q41" s="117">
        <f t="shared" si="2"/>
        <v>1</v>
      </c>
      <c r="R41" s="265">
        <f t="shared" si="3"/>
        <v>1</v>
      </c>
      <c r="S41" s="265">
        <f t="shared" si="9"/>
        <v>1</v>
      </c>
      <c r="T41" s="265">
        <f t="shared" si="4"/>
        <v>1</v>
      </c>
      <c r="U41" s="265">
        <f t="shared" si="5"/>
        <v>1</v>
      </c>
      <c r="V41" s="265">
        <f t="shared" si="6"/>
        <v>1</v>
      </c>
      <c r="W41" s="280" t="str">
        <f t="shared" si="10"/>
        <v xml:space="preserve"> </v>
      </c>
      <c r="X41" s="280" t="s">
        <v>715</v>
      </c>
      <c r="Y41" s="117">
        <f t="shared" si="11"/>
        <v>0</v>
      </c>
      <c r="Z41" s="280" t="s">
        <v>715</v>
      </c>
      <c r="AA41" s="117">
        <f t="shared" si="7"/>
        <v>0</v>
      </c>
      <c r="AF41" s="117">
        <v>60</v>
      </c>
      <c r="AG41" s="117">
        <v>45</v>
      </c>
      <c r="AJ41" s="131"/>
    </row>
    <row r="42" spans="1:37" x14ac:dyDescent="0.2">
      <c r="A42" s="117" t="s">
        <v>702</v>
      </c>
      <c r="B42" s="265">
        <v>2</v>
      </c>
      <c r="C42" s="265">
        <v>0</v>
      </c>
      <c r="D42" s="265">
        <v>800</v>
      </c>
      <c r="E42" s="117" t="s">
        <v>313</v>
      </c>
      <c r="F42" s="117" t="s">
        <v>396</v>
      </c>
      <c r="G42" s="117" t="s">
        <v>313</v>
      </c>
      <c r="H42" s="522" t="s">
        <v>715</v>
      </c>
      <c r="I42" s="265" t="s">
        <v>313</v>
      </c>
      <c r="J42" s="265" t="s">
        <v>313</v>
      </c>
      <c r="K42" s="267" t="s">
        <v>959</v>
      </c>
      <c r="L42" s="117"/>
      <c r="N42" s="117">
        <f>IF(A42=$E$6,1,0)</f>
        <v>0</v>
      </c>
      <c r="O42" s="265">
        <f>IF($E$16&lt;=B42,1,0)</f>
        <v>1</v>
      </c>
      <c r="P42" s="265">
        <f>IF(AND($E$2&gt;=C42,$E$2&lt;=D42),1,0)</f>
        <v>1</v>
      </c>
      <c r="Q42" s="117">
        <f>IF(E42=$E$9,1,0)</f>
        <v>1</v>
      </c>
      <c r="R42" s="265">
        <f>IF(F42=0,1,IF(F42=$E$8,1,0))</f>
        <v>1</v>
      </c>
      <c r="S42" s="265">
        <f>IF(OR(P0Q5="N/A",G42=$E$21),1,0)</f>
        <v>1</v>
      </c>
      <c r="T42" s="265">
        <f t="shared" si="4"/>
        <v>0</v>
      </c>
      <c r="U42" s="265">
        <f>IF(I42=$E$18,1,0)</f>
        <v>1</v>
      </c>
      <c r="V42" s="265">
        <f>IF(J42=$E$19,1,0)</f>
        <v>1</v>
      </c>
      <c r="W42" s="280" t="str">
        <f>IF(Y42&lt;&gt;0,"Y"," ")</f>
        <v xml:space="preserve"> </v>
      </c>
      <c r="X42" s="280" t="s">
        <v>715</v>
      </c>
      <c r="Y42" s="117">
        <f>IF(MIN($N42:$V42)=1,+K42,)</f>
        <v>0</v>
      </c>
      <c r="Z42" s="280" t="s">
        <v>715</v>
      </c>
      <c r="AA42" s="117">
        <f>IF(MIN($N42:$V42)=1,+L42,)</f>
        <v>0</v>
      </c>
      <c r="AF42" s="117">
        <v>60</v>
      </c>
      <c r="AG42" s="117">
        <v>45</v>
      </c>
      <c r="AJ42" s="131"/>
    </row>
    <row r="43" spans="1:37" x14ac:dyDescent="0.2">
      <c r="A43" s="117" t="s">
        <v>701</v>
      </c>
      <c r="B43" s="265">
        <v>2</v>
      </c>
      <c r="C43" s="265">
        <v>0</v>
      </c>
      <c r="D43" s="265">
        <v>800</v>
      </c>
      <c r="E43" s="117" t="s">
        <v>313</v>
      </c>
      <c r="F43" s="117"/>
      <c r="G43" s="117" t="s">
        <v>313</v>
      </c>
      <c r="H43" s="265" t="s">
        <v>313</v>
      </c>
      <c r="I43" s="265" t="s">
        <v>313</v>
      </c>
      <c r="J43" s="265" t="s">
        <v>313</v>
      </c>
      <c r="K43" s="267" t="s">
        <v>961</v>
      </c>
      <c r="L43" s="117"/>
      <c r="N43" s="117">
        <f t="shared" si="0"/>
        <v>0</v>
      </c>
      <c r="O43" s="265">
        <f t="shared" si="1"/>
        <v>1</v>
      </c>
      <c r="P43" s="265">
        <f t="shared" si="8"/>
        <v>1</v>
      </c>
      <c r="Q43" s="117">
        <f t="shared" si="2"/>
        <v>1</v>
      </c>
      <c r="R43" s="265">
        <f t="shared" si="3"/>
        <v>1</v>
      </c>
      <c r="S43" s="265">
        <f t="shared" si="9"/>
        <v>1</v>
      </c>
      <c r="T43" s="523">
        <f t="shared" ref="T43:T51" si="12">IF(H43=$E$10,1,0)</f>
        <v>1</v>
      </c>
      <c r="U43" s="265">
        <f t="shared" si="5"/>
        <v>1</v>
      </c>
      <c r="V43" s="265">
        <f t="shared" si="6"/>
        <v>1</v>
      </c>
      <c r="W43" s="280" t="str">
        <f t="shared" si="10"/>
        <v xml:space="preserve"> </v>
      </c>
      <c r="X43" s="280" t="s">
        <v>715</v>
      </c>
      <c r="Y43" s="117">
        <f t="shared" si="11"/>
        <v>0</v>
      </c>
      <c r="Z43" s="280" t="s">
        <v>715</v>
      </c>
      <c r="AA43" s="117">
        <f t="shared" si="7"/>
        <v>0</v>
      </c>
      <c r="AF43" s="117">
        <v>60</v>
      </c>
      <c r="AG43" s="117">
        <v>45</v>
      </c>
      <c r="AJ43" s="131"/>
    </row>
    <row r="44" spans="1:37" x14ac:dyDescent="0.2">
      <c r="A44" s="117" t="s">
        <v>700</v>
      </c>
      <c r="B44" s="265">
        <v>1</v>
      </c>
      <c r="C44" s="265">
        <v>0</v>
      </c>
      <c r="D44" s="265">
        <v>800</v>
      </c>
      <c r="E44" s="117" t="s">
        <v>313</v>
      </c>
      <c r="F44" s="117" t="s">
        <v>395</v>
      </c>
      <c r="G44" s="117" t="s">
        <v>313</v>
      </c>
      <c r="H44" s="265" t="s">
        <v>313</v>
      </c>
      <c r="I44" s="265" t="s">
        <v>313</v>
      </c>
      <c r="J44" s="265" t="s">
        <v>313</v>
      </c>
      <c r="K44" s="396" t="s">
        <v>1015</v>
      </c>
      <c r="L44" s="117"/>
      <c r="N44" s="117">
        <f t="shared" si="0"/>
        <v>0</v>
      </c>
      <c r="O44" s="265">
        <f t="shared" si="1"/>
        <v>1</v>
      </c>
      <c r="P44" s="265">
        <f t="shared" si="8"/>
        <v>1</v>
      </c>
      <c r="Q44" s="117">
        <f t="shared" si="2"/>
        <v>1</v>
      </c>
      <c r="R44" s="265">
        <f t="shared" si="3"/>
        <v>0</v>
      </c>
      <c r="S44" s="265">
        <f t="shared" si="9"/>
        <v>1</v>
      </c>
      <c r="T44" s="523">
        <f t="shared" si="12"/>
        <v>1</v>
      </c>
      <c r="U44" s="265">
        <f t="shared" si="5"/>
        <v>1</v>
      </c>
      <c r="V44" s="265">
        <f t="shared" si="6"/>
        <v>1</v>
      </c>
      <c r="W44" s="280" t="str">
        <f t="shared" si="10"/>
        <v xml:space="preserve"> </v>
      </c>
      <c r="X44" s="280" t="s">
        <v>715</v>
      </c>
      <c r="Y44" s="117">
        <f t="shared" si="11"/>
        <v>0</v>
      </c>
      <c r="Z44" s="280" t="s">
        <v>715</v>
      </c>
      <c r="AA44" s="117">
        <f t="shared" si="7"/>
        <v>0</v>
      </c>
      <c r="AF44" s="117">
        <v>65</v>
      </c>
      <c r="AG44" s="117">
        <v>45</v>
      </c>
      <c r="AJ44" s="131"/>
    </row>
    <row r="45" spans="1:37" x14ac:dyDescent="0.2">
      <c r="A45" s="117" t="s">
        <v>700</v>
      </c>
      <c r="B45" s="265">
        <v>1</v>
      </c>
      <c r="C45" s="265">
        <v>0</v>
      </c>
      <c r="D45" s="265">
        <v>800</v>
      </c>
      <c r="E45" s="117" t="s">
        <v>313</v>
      </c>
      <c r="F45" s="117" t="s">
        <v>396</v>
      </c>
      <c r="G45" s="117" t="s">
        <v>313</v>
      </c>
      <c r="H45" s="265" t="s">
        <v>313</v>
      </c>
      <c r="I45" s="265" t="s">
        <v>313</v>
      </c>
      <c r="J45" s="265" t="s">
        <v>313</v>
      </c>
      <c r="K45" s="396" t="s">
        <v>1016</v>
      </c>
      <c r="L45" s="117"/>
      <c r="N45" s="117">
        <f t="shared" si="0"/>
        <v>0</v>
      </c>
      <c r="O45" s="265">
        <f t="shared" si="1"/>
        <v>1</v>
      </c>
      <c r="P45" s="265">
        <f t="shared" si="8"/>
        <v>1</v>
      </c>
      <c r="Q45" s="117">
        <f t="shared" si="2"/>
        <v>1</v>
      </c>
      <c r="R45" s="265">
        <f t="shared" si="3"/>
        <v>1</v>
      </c>
      <c r="S45" s="265">
        <f t="shared" si="9"/>
        <v>1</v>
      </c>
      <c r="T45" s="523">
        <f t="shared" si="12"/>
        <v>1</v>
      </c>
      <c r="U45" s="265">
        <f t="shared" si="5"/>
        <v>1</v>
      </c>
      <c r="V45" s="265">
        <f t="shared" si="6"/>
        <v>1</v>
      </c>
      <c r="W45" s="280" t="str">
        <f t="shared" si="10"/>
        <v xml:space="preserve"> </v>
      </c>
      <c r="X45" s="280" t="s">
        <v>715</v>
      </c>
      <c r="Y45" s="117">
        <f t="shared" si="11"/>
        <v>0</v>
      </c>
      <c r="Z45" s="280" t="s">
        <v>715</v>
      </c>
      <c r="AA45" s="117">
        <f t="shared" si="7"/>
        <v>0</v>
      </c>
      <c r="AF45" s="117">
        <v>65</v>
      </c>
      <c r="AG45" s="117">
        <v>45</v>
      </c>
      <c r="AJ45" s="131"/>
    </row>
    <row r="46" spans="1:37" x14ac:dyDescent="0.2">
      <c r="A46" s="117" t="s">
        <v>700</v>
      </c>
      <c r="B46" s="265">
        <v>1</v>
      </c>
      <c r="C46" s="265">
        <v>0</v>
      </c>
      <c r="D46" s="265">
        <v>800</v>
      </c>
      <c r="E46" s="117" t="s">
        <v>313</v>
      </c>
      <c r="F46" s="117" t="s">
        <v>395</v>
      </c>
      <c r="G46" s="117" t="s">
        <v>715</v>
      </c>
      <c r="H46" s="265" t="s">
        <v>313</v>
      </c>
      <c r="I46" s="265" t="s">
        <v>313</v>
      </c>
      <c r="J46" s="265" t="s">
        <v>313</v>
      </c>
      <c r="K46" s="396" t="s">
        <v>1017</v>
      </c>
      <c r="L46" s="117"/>
      <c r="N46" s="117">
        <f t="shared" si="0"/>
        <v>0</v>
      </c>
      <c r="O46" s="265">
        <f t="shared" si="1"/>
        <v>1</v>
      </c>
      <c r="P46" s="265">
        <f t="shared" si="8"/>
        <v>1</v>
      </c>
      <c r="Q46" s="117">
        <f t="shared" si="2"/>
        <v>1</v>
      </c>
      <c r="R46" s="265">
        <f t="shared" si="3"/>
        <v>0</v>
      </c>
      <c r="S46" s="265">
        <f t="shared" si="9"/>
        <v>0</v>
      </c>
      <c r="T46" s="523">
        <f t="shared" si="12"/>
        <v>1</v>
      </c>
      <c r="U46" s="265">
        <f t="shared" si="5"/>
        <v>1</v>
      </c>
      <c r="V46" s="265">
        <f t="shared" si="6"/>
        <v>1</v>
      </c>
      <c r="W46" s="280" t="str">
        <f t="shared" si="10"/>
        <v xml:space="preserve"> </v>
      </c>
      <c r="X46" s="280" t="s">
        <v>715</v>
      </c>
      <c r="Y46" s="117">
        <f t="shared" si="11"/>
        <v>0</v>
      </c>
      <c r="Z46" s="280" t="s">
        <v>715</v>
      </c>
      <c r="AA46" s="117">
        <f t="shared" si="7"/>
        <v>0</v>
      </c>
      <c r="AF46" s="117">
        <v>65</v>
      </c>
      <c r="AG46" s="117">
        <v>45</v>
      </c>
      <c r="AJ46" s="131"/>
    </row>
    <row r="47" spans="1:37" x14ac:dyDescent="0.2">
      <c r="A47" s="117" t="s">
        <v>700</v>
      </c>
      <c r="B47" s="265">
        <v>1</v>
      </c>
      <c r="C47" s="265">
        <v>0</v>
      </c>
      <c r="D47" s="265">
        <v>800</v>
      </c>
      <c r="E47" s="117" t="s">
        <v>313</v>
      </c>
      <c r="F47" s="117" t="s">
        <v>396</v>
      </c>
      <c r="G47" s="117" t="s">
        <v>715</v>
      </c>
      <c r="H47" s="265" t="s">
        <v>313</v>
      </c>
      <c r="I47" s="265" t="s">
        <v>313</v>
      </c>
      <c r="J47" s="265" t="s">
        <v>313</v>
      </c>
      <c r="K47" s="396" t="s">
        <v>1018</v>
      </c>
      <c r="L47" s="117"/>
      <c r="N47" s="117">
        <f t="shared" si="0"/>
        <v>0</v>
      </c>
      <c r="O47" s="265">
        <f t="shared" si="1"/>
        <v>1</v>
      </c>
      <c r="P47" s="265">
        <f t="shared" si="8"/>
        <v>1</v>
      </c>
      <c r="Q47" s="117">
        <f t="shared" si="2"/>
        <v>1</v>
      </c>
      <c r="R47" s="265">
        <f t="shared" si="3"/>
        <v>1</v>
      </c>
      <c r="S47" s="265">
        <f t="shared" si="9"/>
        <v>0</v>
      </c>
      <c r="T47" s="523">
        <f t="shared" si="12"/>
        <v>1</v>
      </c>
      <c r="U47" s="265">
        <f t="shared" si="5"/>
        <v>1</v>
      </c>
      <c r="V47" s="265">
        <f t="shared" si="6"/>
        <v>1</v>
      </c>
      <c r="W47" s="280" t="str">
        <f t="shared" si="10"/>
        <v xml:space="preserve"> </v>
      </c>
      <c r="X47" s="280" t="s">
        <v>715</v>
      </c>
      <c r="Y47" s="117">
        <f t="shared" si="11"/>
        <v>0</v>
      </c>
      <c r="Z47" s="280" t="s">
        <v>715</v>
      </c>
      <c r="AA47" s="117">
        <f t="shared" si="7"/>
        <v>0</v>
      </c>
      <c r="AF47" s="117">
        <v>65</v>
      </c>
      <c r="AG47" s="117">
        <v>45</v>
      </c>
      <c r="AJ47" s="131"/>
    </row>
    <row r="48" spans="1:37" x14ac:dyDescent="0.2">
      <c r="A48" s="117" t="s">
        <v>703</v>
      </c>
      <c r="B48" s="265">
        <v>1</v>
      </c>
      <c r="C48" s="265">
        <v>0</v>
      </c>
      <c r="D48" s="265">
        <v>800</v>
      </c>
      <c r="E48" s="117" t="s">
        <v>313</v>
      </c>
      <c r="F48" s="117"/>
      <c r="G48" s="117" t="s">
        <v>313</v>
      </c>
      <c r="H48" s="265" t="s">
        <v>313</v>
      </c>
      <c r="I48" s="265" t="s">
        <v>313</v>
      </c>
      <c r="J48" s="265" t="s">
        <v>313</v>
      </c>
      <c r="K48" s="396" t="s">
        <v>1019</v>
      </c>
      <c r="L48" s="396" t="s">
        <v>1020</v>
      </c>
      <c r="N48" s="117">
        <f t="shared" si="0"/>
        <v>0</v>
      </c>
      <c r="O48" s="265">
        <f t="shared" si="1"/>
        <v>1</v>
      </c>
      <c r="P48" s="265">
        <f t="shared" si="8"/>
        <v>1</v>
      </c>
      <c r="Q48" s="117">
        <f t="shared" si="2"/>
        <v>1</v>
      </c>
      <c r="R48" s="265">
        <f t="shared" si="3"/>
        <v>1</v>
      </c>
      <c r="S48" s="265">
        <f t="shared" si="9"/>
        <v>1</v>
      </c>
      <c r="T48" s="523">
        <f t="shared" si="12"/>
        <v>1</v>
      </c>
      <c r="U48" s="265">
        <f t="shared" si="5"/>
        <v>1</v>
      </c>
      <c r="V48" s="265">
        <f t="shared" si="6"/>
        <v>1</v>
      </c>
      <c r="W48" s="280" t="str">
        <f t="shared" si="10"/>
        <v xml:space="preserve"> </v>
      </c>
      <c r="X48" s="280" t="s">
        <v>715</v>
      </c>
      <c r="Y48" s="117">
        <f t="shared" si="11"/>
        <v>0</v>
      </c>
      <c r="Z48" s="280" t="s">
        <v>313</v>
      </c>
      <c r="AA48" s="117">
        <f t="shared" si="7"/>
        <v>0</v>
      </c>
      <c r="AF48" s="117">
        <v>0</v>
      </c>
      <c r="AG48" s="117">
        <v>0</v>
      </c>
      <c r="AJ48" s="131"/>
    </row>
    <row r="49" spans="1:36" x14ac:dyDescent="0.2">
      <c r="A49" s="117" t="s">
        <v>704</v>
      </c>
      <c r="B49" s="265">
        <v>1</v>
      </c>
      <c r="C49" s="265">
        <v>0</v>
      </c>
      <c r="D49" s="265">
        <v>800</v>
      </c>
      <c r="E49" s="117" t="s">
        <v>313</v>
      </c>
      <c r="F49" s="117"/>
      <c r="G49" s="117" t="s">
        <v>313</v>
      </c>
      <c r="H49" s="265" t="s">
        <v>313</v>
      </c>
      <c r="I49" s="265" t="s">
        <v>313</v>
      </c>
      <c r="J49" s="265" t="s">
        <v>313</v>
      </c>
      <c r="K49" s="396" t="s">
        <v>1021</v>
      </c>
      <c r="L49" s="396" t="s">
        <v>1020</v>
      </c>
      <c r="N49" s="117">
        <f t="shared" si="0"/>
        <v>0</v>
      </c>
      <c r="O49" s="265">
        <f t="shared" si="1"/>
        <v>1</v>
      </c>
      <c r="P49" s="265">
        <f t="shared" si="8"/>
        <v>1</v>
      </c>
      <c r="Q49" s="117">
        <f t="shared" si="2"/>
        <v>1</v>
      </c>
      <c r="R49" s="265">
        <f t="shared" si="3"/>
        <v>1</v>
      </c>
      <c r="S49" s="265">
        <f t="shared" si="9"/>
        <v>1</v>
      </c>
      <c r="T49" s="523">
        <f t="shared" si="12"/>
        <v>1</v>
      </c>
      <c r="U49" s="265">
        <f t="shared" si="5"/>
        <v>1</v>
      </c>
      <c r="V49" s="265">
        <f t="shared" si="6"/>
        <v>1</v>
      </c>
      <c r="W49" s="280" t="str">
        <f t="shared" si="10"/>
        <v xml:space="preserve"> </v>
      </c>
      <c r="X49" s="280" t="s">
        <v>715</v>
      </c>
      <c r="Y49" s="117">
        <f t="shared" si="11"/>
        <v>0</v>
      </c>
      <c r="Z49" s="280" t="s">
        <v>313</v>
      </c>
      <c r="AA49" s="117">
        <f t="shared" si="7"/>
        <v>0</v>
      </c>
      <c r="AF49" s="117">
        <v>0</v>
      </c>
      <c r="AG49" s="117">
        <v>0</v>
      </c>
      <c r="AJ49" s="131"/>
    </row>
    <row r="50" spans="1:36" x14ac:dyDescent="0.2">
      <c r="A50" s="117" t="s">
        <v>705</v>
      </c>
      <c r="B50" s="265">
        <v>1</v>
      </c>
      <c r="C50" s="265">
        <v>0</v>
      </c>
      <c r="D50" s="265">
        <v>800</v>
      </c>
      <c r="E50" s="117" t="s">
        <v>313</v>
      </c>
      <c r="F50" s="117"/>
      <c r="G50" s="117" t="s">
        <v>715</v>
      </c>
      <c r="H50" s="265" t="s">
        <v>313</v>
      </c>
      <c r="I50" s="265" t="s">
        <v>313</v>
      </c>
      <c r="J50" s="265" t="s">
        <v>313</v>
      </c>
      <c r="K50" s="396" t="s">
        <v>1022</v>
      </c>
      <c r="L50" s="396" t="s">
        <v>1020</v>
      </c>
      <c r="N50" s="117">
        <f t="shared" si="0"/>
        <v>0</v>
      </c>
      <c r="O50" s="265">
        <f t="shared" si="1"/>
        <v>1</v>
      </c>
      <c r="P50" s="265">
        <f t="shared" si="8"/>
        <v>1</v>
      </c>
      <c r="Q50" s="117">
        <f t="shared" si="2"/>
        <v>1</v>
      </c>
      <c r="R50" s="265">
        <f t="shared" si="3"/>
        <v>1</v>
      </c>
      <c r="S50" s="265">
        <f t="shared" si="9"/>
        <v>0</v>
      </c>
      <c r="T50" s="523">
        <f t="shared" si="12"/>
        <v>1</v>
      </c>
      <c r="U50" s="265">
        <f t="shared" si="5"/>
        <v>1</v>
      </c>
      <c r="V50" s="265">
        <f t="shared" si="6"/>
        <v>1</v>
      </c>
      <c r="W50" s="280" t="str">
        <f t="shared" si="10"/>
        <v xml:space="preserve"> </v>
      </c>
      <c r="X50" s="280" t="s">
        <v>715</v>
      </c>
      <c r="Y50" s="117">
        <f t="shared" si="11"/>
        <v>0</v>
      </c>
      <c r="Z50" s="280" t="s">
        <v>313</v>
      </c>
      <c r="AA50" s="117">
        <f t="shared" si="7"/>
        <v>0</v>
      </c>
      <c r="AF50" s="117">
        <v>0</v>
      </c>
      <c r="AG50" s="117">
        <v>0</v>
      </c>
      <c r="AJ50" s="131"/>
    </row>
    <row r="51" spans="1:36" x14ac:dyDescent="0.2">
      <c r="A51" s="117" t="s">
        <v>706</v>
      </c>
      <c r="B51" s="265">
        <v>1</v>
      </c>
      <c r="C51" s="265">
        <v>0</v>
      </c>
      <c r="D51" s="265">
        <v>800</v>
      </c>
      <c r="E51" s="117" t="s">
        <v>313</v>
      </c>
      <c r="F51" s="117"/>
      <c r="G51" s="117" t="s">
        <v>313</v>
      </c>
      <c r="H51" s="265" t="s">
        <v>313</v>
      </c>
      <c r="I51" s="265" t="s">
        <v>313</v>
      </c>
      <c r="J51" s="265" t="s">
        <v>313</v>
      </c>
      <c r="K51" s="267" t="s">
        <v>996</v>
      </c>
      <c r="L51" s="267" t="s">
        <v>1241</v>
      </c>
      <c r="N51" s="117">
        <f t="shared" si="0"/>
        <v>0</v>
      </c>
      <c r="O51" s="265">
        <f t="shared" si="1"/>
        <v>1</v>
      </c>
      <c r="P51" s="265">
        <f t="shared" si="8"/>
        <v>1</v>
      </c>
      <c r="Q51" s="117">
        <f t="shared" si="2"/>
        <v>1</v>
      </c>
      <c r="R51" s="265">
        <f t="shared" si="3"/>
        <v>1</v>
      </c>
      <c r="S51" s="265">
        <f t="shared" si="9"/>
        <v>1</v>
      </c>
      <c r="T51" s="523">
        <f t="shared" si="12"/>
        <v>1</v>
      </c>
      <c r="U51" s="265">
        <f t="shared" si="5"/>
        <v>1</v>
      </c>
      <c r="V51" s="265">
        <f t="shared" si="6"/>
        <v>1</v>
      </c>
      <c r="W51" s="280" t="str">
        <f t="shared" si="10"/>
        <v xml:space="preserve"> </v>
      </c>
      <c r="X51" s="280" t="s">
        <v>715</v>
      </c>
      <c r="Y51" s="117">
        <f t="shared" si="11"/>
        <v>0</v>
      </c>
      <c r="Z51" s="280" t="s">
        <v>313</v>
      </c>
      <c r="AA51" s="117">
        <f t="shared" si="7"/>
        <v>0</v>
      </c>
      <c r="AF51" s="117">
        <v>0</v>
      </c>
      <c r="AG51" s="117">
        <v>0</v>
      </c>
      <c r="AJ51" s="131"/>
    </row>
    <row r="52" spans="1:36" x14ac:dyDescent="0.2">
      <c r="AF52" s="128"/>
      <c r="AJ52" s="131"/>
    </row>
    <row r="53" spans="1:36" x14ac:dyDescent="0.2">
      <c r="AF53" s="128"/>
      <c r="AJ53" s="131"/>
    </row>
    <row r="54" spans="1:36" x14ac:dyDescent="0.2">
      <c r="A54" s="1024" t="s">
        <v>1043</v>
      </c>
      <c r="B54" s="1025"/>
      <c r="C54" s="1025"/>
      <c r="D54" s="1026"/>
      <c r="AF54" s="128"/>
      <c r="AJ54" s="131"/>
    </row>
    <row r="55" spans="1:36" x14ac:dyDescent="0.2">
      <c r="B55" s="268" t="s">
        <v>999</v>
      </c>
      <c r="C55" s="1023" t="s">
        <v>948</v>
      </c>
      <c r="D55" s="1023"/>
      <c r="N55" s="268" t="s">
        <v>708</v>
      </c>
      <c r="O55" s="268" t="s">
        <v>999</v>
      </c>
      <c r="AF55" s="128"/>
      <c r="AJ55" s="131"/>
    </row>
    <row r="56" spans="1:36" x14ac:dyDescent="0.2">
      <c r="A56" s="268" t="s">
        <v>1042</v>
      </c>
      <c r="B56" s="268" t="s">
        <v>967</v>
      </c>
      <c r="C56" s="268" t="s">
        <v>964</v>
      </c>
      <c r="D56" s="268" t="s">
        <v>965</v>
      </c>
      <c r="E56" s="268" t="s">
        <v>760</v>
      </c>
      <c r="F56" s="268" t="s">
        <v>952</v>
      </c>
      <c r="G56" s="268" t="s">
        <v>991</v>
      </c>
      <c r="H56" s="268" t="s">
        <v>992</v>
      </c>
      <c r="N56" s="268" t="s">
        <v>1042</v>
      </c>
      <c r="O56" s="268" t="s">
        <v>967</v>
      </c>
      <c r="P56" s="269" t="s">
        <v>948</v>
      </c>
      <c r="Q56" s="268" t="s">
        <v>760</v>
      </c>
      <c r="R56" s="269" t="s">
        <v>952</v>
      </c>
      <c r="S56" s="269" t="s">
        <v>991</v>
      </c>
      <c r="T56" s="268" t="s">
        <v>992</v>
      </c>
      <c r="W56" s="280" t="s">
        <v>1078</v>
      </c>
      <c r="X56" s="280" t="s">
        <v>1077</v>
      </c>
      <c r="Y56" s="267" t="s">
        <v>951</v>
      </c>
      <c r="AC56" s="288" t="s">
        <v>951</v>
      </c>
      <c r="AD56" s="93" t="str">
        <f>IF(quote59&lt;&gt;0,IF(VLOOKUP("Y",W57:Y93,2,FALSE)="Y",VLOOKUP("Y",W57:Y93,3,FALSE),IF(LEN(P0Q2=3),VLOOKUP("Y",W57:Y93,3,FALSE)&amp;".0"&amp;+P0Q2,VLOOKUP("Y",W57:Y93,3,FALSE)&amp;".00"&amp;+P0Q2))," ")</f>
        <v>B91.14.350.0800</v>
      </c>
      <c r="AF56" s="128"/>
      <c r="AJ56" s="131"/>
    </row>
    <row r="57" spans="1:36" x14ac:dyDescent="0.2">
      <c r="A57" s="117">
        <v>1</v>
      </c>
      <c r="B57" s="265">
        <v>1</v>
      </c>
      <c r="C57" s="265">
        <v>50</v>
      </c>
      <c r="D57" s="265">
        <v>50</v>
      </c>
      <c r="E57" s="117" t="s">
        <v>715</v>
      </c>
      <c r="F57" s="265" t="s">
        <v>313</v>
      </c>
      <c r="G57" s="265" t="s">
        <v>313</v>
      </c>
      <c r="H57" s="265" t="s">
        <v>313</v>
      </c>
      <c r="I57" s="282"/>
      <c r="J57" s="284"/>
      <c r="K57" s="267" t="s">
        <v>1000</v>
      </c>
      <c r="N57" s="117">
        <f t="shared" ref="N57:N93" si="13">IF(A57=$E$15,1,0)</f>
        <v>1</v>
      </c>
      <c r="O57" s="275">
        <v>1</v>
      </c>
      <c r="P57" s="265">
        <f>IF(AND($E$2&gt;=C57,$E$2&lt;=D57),1,0)</f>
        <v>0</v>
      </c>
      <c r="Q57" s="117">
        <f t="shared" ref="Q57:Q93" si="14">IF(E57=$E$12,1,0)</f>
        <v>1</v>
      </c>
      <c r="R57" s="265">
        <f t="shared" ref="R57:R93" si="15">IF(F57=$E$13,1,0)</f>
        <v>1</v>
      </c>
      <c r="S57" s="265">
        <f t="shared" ref="S57:S93" si="16">IF(G57=$E$18,1,0)</f>
        <v>1</v>
      </c>
      <c r="T57" s="265">
        <f t="shared" ref="T57:T93" si="17">IF(H57=$E$19,1,0)</f>
        <v>1</v>
      </c>
      <c r="U57" s="282"/>
      <c r="V57" s="284"/>
      <c r="W57" s="280" t="str">
        <f>IF(Y57&lt;&gt;0,"Y"," ")</f>
        <v xml:space="preserve"> </v>
      </c>
      <c r="X57" s="280" t="s">
        <v>715</v>
      </c>
      <c r="Y57" s="117">
        <f t="shared" ref="Y57:Y93" si="18">IF(MIN(N57:V57)=1,+K57,)</f>
        <v>0</v>
      </c>
      <c r="AF57" s="128"/>
      <c r="AJ57" s="131"/>
    </row>
    <row r="58" spans="1:36" x14ac:dyDescent="0.2">
      <c r="A58" s="117">
        <v>1</v>
      </c>
      <c r="B58" s="265">
        <v>1</v>
      </c>
      <c r="C58" s="265">
        <v>100</v>
      </c>
      <c r="D58" s="265">
        <v>800</v>
      </c>
      <c r="E58" s="117" t="s">
        <v>715</v>
      </c>
      <c r="F58" s="265" t="s">
        <v>313</v>
      </c>
      <c r="G58" s="265" t="s">
        <v>313</v>
      </c>
      <c r="H58" s="265" t="s">
        <v>313</v>
      </c>
      <c r="I58" s="128"/>
      <c r="J58" s="131"/>
      <c r="K58" s="267" t="s">
        <v>1079</v>
      </c>
      <c r="N58" s="117">
        <f t="shared" si="13"/>
        <v>1</v>
      </c>
      <c r="O58" s="275">
        <v>1</v>
      </c>
      <c r="P58" s="265">
        <f t="shared" ref="P58:P93" si="19">IF(AND($E$2&gt;=C58,$E$2&lt;=D58),1,0)</f>
        <v>1</v>
      </c>
      <c r="Q58" s="117">
        <f t="shared" si="14"/>
        <v>1</v>
      </c>
      <c r="R58" s="265">
        <f t="shared" si="15"/>
        <v>1</v>
      </c>
      <c r="S58" s="265">
        <f t="shared" si="16"/>
        <v>1</v>
      </c>
      <c r="T58" s="265">
        <f t="shared" si="17"/>
        <v>1</v>
      </c>
      <c r="U58" s="128"/>
      <c r="V58" s="131"/>
      <c r="W58" s="280" t="str">
        <f t="shared" ref="W58:W93" si="20">IF(Y58&lt;&gt;0,"Y"," ")</f>
        <v>Y</v>
      </c>
      <c r="X58" s="280" t="s">
        <v>313</v>
      </c>
      <c r="Y58" s="117" t="str">
        <f t="shared" si="18"/>
        <v>B91.14.350</v>
      </c>
      <c r="AF58" s="128"/>
      <c r="AJ58" s="131"/>
    </row>
    <row r="59" spans="1:36" x14ac:dyDescent="0.2">
      <c r="A59" s="117">
        <v>1</v>
      </c>
      <c r="B59" s="265">
        <v>1</v>
      </c>
      <c r="C59" s="265">
        <v>50</v>
      </c>
      <c r="D59" s="265">
        <v>50</v>
      </c>
      <c r="E59" s="117" t="s">
        <v>313</v>
      </c>
      <c r="F59" s="265" t="s">
        <v>715</v>
      </c>
      <c r="G59" s="265" t="s">
        <v>313</v>
      </c>
      <c r="H59" s="265" t="s">
        <v>313</v>
      </c>
      <c r="I59" s="128"/>
      <c r="J59" s="131"/>
      <c r="K59" s="267" t="s">
        <v>1001</v>
      </c>
      <c r="N59" s="117">
        <f t="shared" si="13"/>
        <v>1</v>
      </c>
      <c r="O59" s="275">
        <v>1</v>
      </c>
      <c r="P59" s="265">
        <f t="shared" si="19"/>
        <v>0</v>
      </c>
      <c r="Q59" s="117">
        <f t="shared" si="14"/>
        <v>0</v>
      </c>
      <c r="R59" s="265">
        <f t="shared" si="15"/>
        <v>0</v>
      </c>
      <c r="S59" s="265">
        <f t="shared" si="16"/>
        <v>1</v>
      </c>
      <c r="T59" s="265">
        <f t="shared" si="17"/>
        <v>1</v>
      </c>
      <c r="U59" s="128"/>
      <c r="V59" s="131"/>
      <c r="W59" s="280" t="str">
        <f t="shared" si="20"/>
        <v xml:space="preserve"> </v>
      </c>
      <c r="X59" s="280" t="s">
        <v>715</v>
      </c>
      <c r="Y59" s="117">
        <f t="shared" si="18"/>
        <v>0</v>
      </c>
      <c r="AF59" s="128"/>
      <c r="AJ59" s="131"/>
    </row>
    <row r="60" spans="1:36" x14ac:dyDescent="0.2">
      <c r="A60" s="117">
        <v>1</v>
      </c>
      <c r="B60" s="265">
        <v>1</v>
      </c>
      <c r="C60" s="265">
        <v>100</v>
      </c>
      <c r="D60" s="265">
        <v>800</v>
      </c>
      <c r="E60" s="117" t="s">
        <v>313</v>
      </c>
      <c r="F60" s="265" t="s">
        <v>715</v>
      </c>
      <c r="G60" s="265" t="s">
        <v>313</v>
      </c>
      <c r="H60" s="265" t="s">
        <v>313</v>
      </c>
      <c r="I60" s="128"/>
      <c r="J60" s="131"/>
      <c r="K60" s="267" t="s">
        <v>1080</v>
      </c>
      <c r="N60" s="117">
        <f t="shared" si="13"/>
        <v>1</v>
      </c>
      <c r="O60" s="275">
        <v>1</v>
      </c>
      <c r="P60" s="265">
        <f t="shared" si="19"/>
        <v>1</v>
      </c>
      <c r="Q60" s="117">
        <f t="shared" si="14"/>
        <v>0</v>
      </c>
      <c r="R60" s="265">
        <f t="shared" si="15"/>
        <v>0</v>
      </c>
      <c r="S60" s="265">
        <f t="shared" si="16"/>
        <v>1</v>
      </c>
      <c r="T60" s="265">
        <f t="shared" si="17"/>
        <v>1</v>
      </c>
      <c r="U60" s="128"/>
      <c r="V60" s="131"/>
      <c r="W60" s="280" t="str">
        <f t="shared" si="20"/>
        <v xml:space="preserve"> </v>
      </c>
      <c r="X60" s="280" t="s">
        <v>313</v>
      </c>
      <c r="Y60" s="117">
        <f t="shared" si="18"/>
        <v>0</v>
      </c>
      <c r="AF60" s="128"/>
      <c r="AJ60" s="131"/>
    </row>
    <row r="61" spans="1:36" x14ac:dyDescent="0.2">
      <c r="A61" s="117">
        <v>1</v>
      </c>
      <c r="B61" s="265">
        <v>2</v>
      </c>
      <c r="C61" s="265">
        <v>50</v>
      </c>
      <c r="D61" s="265">
        <v>50</v>
      </c>
      <c r="E61" s="117" t="s">
        <v>715</v>
      </c>
      <c r="F61" s="265" t="s">
        <v>313</v>
      </c>
      <c r="G61" s="265" t="s">
        <v>313</v>
      </c>
      <c r="H61" s="265" t="s">
        <v>313</v>
      </c>
      <c r="I61" s="128"/>
      <c r="J61" s="131"/>
      <c r="K61" s="267" t="s">
        <v>1002</v>
      </c>
      <c r="N61" s="117">
        <f t="shared" si="13"/>
        <v>1</v>
      </c>
      <c r="O61" s="275">
        <v>1</v>
      </c>
      <c r="P61" s="265">
        <f t="shared" si="19"/>
        <v>0</v>
      </c>
      <c r="Q61" s="117">
        <f t="shared" si="14"/>
        <v>1</v>
      </c>
      <c r="R61" s="265">
        <f t="shared" si="15"/>
        <v>1</v>
      </c>
      <c r="S61" s="265">
        <f t="shared" si="16"/>
        <v>1</v>
      </c>
      <c r="T61" s="265">
        <f t="shared" si="17"/>
        <v>1</v>
      </c>
      <c r="U61" s="128"/>
      <c r="V61" s="131"/>
      <c r="W61" s="280" t="str">
        <f t="shared" si="20"/>
        <v xml:space="preserve"> </v>
      </c>
      <c r="X61" s="280" t="s">
        <v>715</v>
      </c>
      <c r="Y61" s="117">
        <f t="shared" si="18"/>
        <v>0</v>
      </c>
      <c r="AF61" s="128"/>
      <c r="AJ61" s="131"/>
    </row>
    <row r="62" spans="1:36" x14ac:dyDescent="0.2">
      <c r="A62" s="117">
        <v>1</v>
      </c>
      <c r="B62" s="265">
        <v>2</v>
      </c>
      <c r="C62" s="265">
        <v>100</v>
      </c>
      <c r="D62" s="265">
        <v>800</v>
      </c>
      <c r="E62" s="117" t="s">
        <v>715</v>
      </c>
      <c r="F62" s="265" t="s">
        <v>313</v>
      </c>
      <c r="G62" s="265" t="s">
        <v>313</v>
      </c>
      <c r="H62" s="265" t="s">
        <v>313</v>
      </c>
      <c r="I62" s="128"/>
      <c r="J62" s="131"/>
      <c r="K62" s="267" t="s">
        <v>1003</v>
      </c>
      <c r="N62" s="117">
        <f t="shared" si="13"/>
        <v>1</v>
      </c>
      <c r="O62" s="275">
        <v>1</v>
      </c>
      <c r="P62" s="265">
        <f t="shared" si="19"/>
        <v>1</v>
      </c>
      <c r="Q62" s="117">
        <f t="shared" si="14"/>
        <v>1</v>
      </c>
      <c r="R62" s="265">
        <f t="shared" si="15"/>
        <v>1</v>
      </c>
      <c r="S62" s="265">
        <f t="shared" si="16"/>
        <v>1</v>
      </c>
      <c r="T62" s="265">
        <f t="shared" si="17"/>
        <v>1</v>
      </c>
      <c r="U62" s="128"/>
      <c r="V62" s="131"/>
      <c r="W62" s="280" t="str">
        <f t="shared" si="20"/>
        <v>Y</v>
      </c>
      <c r="X62" s="280" t="s">
        <v>313</v>
      </c>
      <c r="Y62" s="117" t="str">
        <f t="shared" si="18"/>
        <v>B91.14.354</v>
      </c>
      <c r="AF62" s="128"/>
      <c r="AJ62" s="131"/>
    </row>
    <row r="63" spans="1:36" x14ac:dyDescent="0.2">
      <c r="A63" s="117">
        <v>1</v>
      </c>
      <c r="B63" s="265">
        <v>2</v>
      </c>
      <c r="C63" s="265">
        <v>50</v>
      </c>
      <c r="D63" s="265">
        <v>50</v>
      </c>
      <c r="E63" s="117" t="s">
        <v>313</v>
      </c>
      <c r="F63" s="265" t="s">
        <v>715</v>
      </c>
      <c r="G63" s="265" t="s">
        <v>313</v>
      </c>
      <c r="H63" s="265" t="s">
        <v>313</v>
      </c>
      <c r="I63" s="128"/>
      <c r="J63" s="131"/>
      <c r="K63" s="267" t="s">
        <v>1004</v>
      </c>
      <c r="N63" s="117">
        <f t="shared" si="13"/>
        <v>1</v>
      </c>
      <c r="O63" s="275">
        <v>1</v>
      </c>
      <c r="P63" s="265">
        <f t="shared" si="19"/>
        <v>0</v>
      </c>
      <c r="Q63" s="117">
        <f t="shared" si="14"/>
        <v>0</v>
      </c>
      <c r="R63" s="265">
        <f t="shared" si="15"/>
        <v>0</v>
      </c>
      <c r="S63" s="265">
        <f t="shared" si="16"/>
        <v>1</v>
      </c>
      <c r="T63" s="265">
        <f t="shared" si="17"/>
        <v>1</v>
      </c>
      <c r="U63" s="128"/>
      <c r="V63" s="131"/>
      <c r="W63" s="280" t="str">
        <f t="shared" si="20"/>
        <v xml:space="preserve"> </v>
      </c>
      <c r="X63" s="280" t="s">
        <v>715</v>
      </c>
      <c r="Y63" s="117">
        <f t="shared" si="18"/>
        <v>0</v>
      </c>
      <c r="AF63" s="128"/>
      <c r="AJ63" s="131"/>
    </row>
    <row r="64" spans="1:36" x14ac:dyDescent="0.2">
      <c r="A64" s="117">
        <v>1</v>
      </c>
      <c r="B64" s="265">
        <v>2</v>
      </c>
      <c r="C64" s="265">
        <v>100</v>
      </c>
      <c r="D64" s="265">
        <v>800</v>
      </c>
      <c r="E64" s="117" t="s">
        <v>313</v>
      </c>
      <c r="F64" s="265" t="s">
        <v>715</v>
      </c>
      <c r="G64" s="265" t="s">
        <v>313</v>
      </c>
      <c r="H64" s="265" t="s">
        <v>313</v>
      </c>
      <c r="I64" s="128"/>
      <c r="J64" s="131"/>
      <c r="K64" s="267" t="s">
        <v>1081</v>
      </c>
      <c r="N64" s="117">
        <f t="shared" si="13"/>
        <v>1</v>
      </c>
      <c r="O64" s="275">
        <v>1</v>
      </c>
      <c r="P64" s="265">
        <f t="shared" si="19"/>
        <v>1</v>
      </c>
      <c r="Q64" s="117">
        <f t="shared" si="14"/>
        <v>0</v>
      </c>
      <c r="R64" s="265">
        <f t="shared" si="15"/>
        <v>0</v>
      </c>
      <c r="S64" s="265">
        <f t="shared" si="16"/>
        <v>1</v>
      </c>
      <c r="T64" s="265">
        <f t="shared" si="17"/>
        <v>1</v>
      </c>
      <c r="U64" s="128"/>
      <c r="V64" s="131"/>
      <c r="W64" s="280" t="str">
        <f t="shared" si="20"/>
        <v xml:space="preserve"> </v>
      </c>
      <c r="X64" s="280" t="s">
        <v>313</v>
      </c>
      <c r="Y64" s="117">
        <f t="shared" si="18"/>
        <v>0</v>
      </c>
      <c r="AF64" s="128"/>
      <c r="AJ64" s="131"/>
    </row>
    <row r="65" spans="1:36" x14ac:dyDescent="0.2">
      <c r="A65" s="117">
        <v>2</v>
      </c>
      <c r="B65" s="265">
        <v>1</v>
      </c>
      <c r="C65" s="265">
        <v>50</v>
      </c>
      <c r="D65" s="265">
        <v>50</v>
      </c>
      <c r="E65" s="117" t="s">
        <v>715</v>
      </c>
      <c r="F65" s="265" t="s">
        <v>313</v>
      </c>
      <c r="G65" s="265" t="s">
        <v>313</v>
      </c>
      <c r="H65" s="265" t="s">
        <v>313</v>
      </c>
      <c r="I65" s="128"/>
      <c r="J65" s="131"/>
      <c r="K65" s="267" t="s">
        <v>1044</v>
      </c>
      <c r="N65" s="117">
        <f t="shared" si="13"/>
        <v>0</v>
      </c>
      <c r="O65" s="275">
        <v>1</v>
      </c>
      <c r="P65" s="265">
        <f t="shared" si="19"/>
        <v>0</v>
      </c>
      <c r="Q65" s="117">
        <f t="shared" si="14"/>
        <v>1</v>
      </c>
      <c r="R65" s="265">
        <f t="shared" si="15"/>
        <v>1</v>
      </c>
      <c r="S65" s="265">
        <f t="shared" si="16"/>
        <v>1</v>
      </c>
      <c r="T65" s="265">
        <f t="shared" si="17"/>
        <v>1</v>
      </c>
      <c r="U65" s="128"/>
      <c r="V65" s="131"/>
      <c r="W65" s="280" t="str">
        <f t="shared" si="20"/>
        <v xml:space="preserve"> </v>
      </c>
      <c r="X65" s="280" t="s">
        <v>715</v>
      </c>
      <c r="Y65" s="117">
        <f t="shared" si="18"/>
        <v>0</v>
      </c>
      <c r="AF65" s="128"/>
      <c r="AJ65" s="131"/>
    </row>
    <row r="66" spans="1:36" x14ac:dyDescent="0.2">
      <c r="A66" s="117">
        <v>2</v>
      </c>
      <c r="B66" s="265">
        <v>1</v>
      </c>
      <c r="C66" s="265">
        <v>100</v>
      </c>
      <c r="D66" s="265">
        <v>800</v>
      </c>
      <c r="E66" s="117" t="s">
        <v>715</v>
      </c>
      <c r="F66" s="265" t="s">
        <v>313</v>
      </c>
      <c r="G66" s="265" t="s">
        <v>313</v>
      </c>
      <c r="H66" s="265" t="s">
        <v>313</v>
      </c>
      <c r="I66" s="128"/>
      <c r="J66" s="131"/>
      <c r="K66" s="267" t="s">
        <v>1694</v>
      </c>
      <c r="N66" s="117">
        <f t="shared" si="13"/>
        <v>0</v>
      </c>
      <c r="O66" s="275">
        <v>1</v>
      </c>
      <c r="P66" s="265">
        <f t="shared" si="19"/>
        <v>1</v>
      </c>
      <c r="Q66" s="117">
        <f t="shared" si="14"/>
        <v>1</v>
      </c>
      <c r="R66" s="265">
        <f t="shared" si="15"/>
        <v>1</v>
      </c>
      <c r="S66" s="265">
        <f t="shared" si="16"/>
        <v>1</v>
      </c>
      <c r="T66" s="265">
        <f t="shared" si="17"/>
        <v>1</v>
      </c>
      <c r="U66" s="128"/>
      <c r="V66" s="131"/>
      <c r="W66" s="280" t="str">
        <f t="shared" si="20"/>
        <v xml:space="preserve"> </v>
      </c>
      <c r="X66" s="280" t="s">
        <v>313</v>
      </c>
      <c r="Y66" s="117">
        <f t="shared" si="18"/>
        <v>0</v>
      </c>
      <c r="AF66" s="128"/>
      <c r="AJ66" s="131"/>
    </row>
    <row r="67" spans="1:36" x14ac:dyDescent="0.2">
      <c r="A67" s="117">
        <v>2</v>
      </c>
      <c r="B67" s="265">
        <v>1</v>
      </c>
      <c r="C67" s="265">
        <v>50</v>
      </c>
      <c r="D67" s="265">
        <v>50</v>
      </c>
      <c r="E67" s="117" t="s">
        <v>313</v>
      </c>
      <c r="F67" s="265" t="s">
        <v>715</v>
      </c>
      <c r="G67" s="265" t="s">
        <v>313</v>
      </c>
      <c r="H67" s="265" t="s">
        <v>313</v>
      </c>
      <c r="I67" s="128"/>
      <c r="J67" s="131"/>
      <c r="K67" s="267" t="s">
        <v>1045</v>
      </c>
      <c r="N67" s="117">
        <f t="shared" si="13"/>
        <v>0</v>
      </c>
      <c r="O67" s="275">
        <v>1</v>
      </c>
      <c r="P67" s="265">
        <f t="shared" si="19"/>
        <v>0</v>
      </c>
      <c r="Q67" s="117">
        <f t="shared" si="14"/>
        <v>0</v>
      </c>
      <c r="R67" s="265">
        <f t="shared" si="15"/>
        <v>0</v>
      </c>
      <c r="S67" s="265">
        <f t="shared" si="16"/>
        <v>1</v>
      </c>
      <c r="T67" s="265">
        <f t="shared" si="17"/>
        <v>1</v>
      </c>
      <c r="U67" s="128"/>
      <c r="V67" s="131"/>
      <c r="W67" s="280" t="str">
        <f t="shared" si="20"/>
        <v xml:space="preserve"> </v>
      </c>
      <c r="X67" s="280" t="s">
        <v>715</v>
      </c>
      <c r="Y67" s="117">
        <f t="shared" si="18"/>
        <v>0</v>
      </c>
      <c r="AF67" s="128"/>
      <c r="AJ67" s="131"/>
    </row>
    <row r="68" spans="1:36" x14ac:dyDescent="0.2">
      <c r="A68" s="117">
        <v>2</v>
      </c>
      <c r="B68" s="265">
        <v>1</v>
      </c>
      <c r="C68" s="265">
        <v>100</v>
      </c>
      <c r="D68" s="265">
        <v>100</v>
      </c>
      <c r="E68" s="117" t="s">
        <v>313</v>
      </c>
      <c r="F68" s="265" t="s">
        <v>715</v>
      </c>
      <c r="G68" s="265" t="s">
        <v>313</v>
      </c>
      <c r="H68" s="265" t="s">
        <v>313</v>
      </c>
      <c r="I68" s="128"/>
      <c r="J68" s="131"/>
      <c r="K68" s="267" t="s">
        <v>1046</v>
      </c>
      <c r="N68" s="117">
        <f t="shared" si="13"/>
        <v>0</v>
      </c>
      <c r="O68" s="275">
        <v>1</v>
      </c>
      <c r="P68" s="265">
        <f t="shared" si="19"/>
        <v>0</v>
      </c>
      <c r="Q68" s="117">
        <f t="shared" si="14"/>
        <v>0</v>
      </c>
      <c r="R68" s="265">
        <f t="shared" si="15"/>
        <v>0</v>
      </c>
      <c r="S68" s="265">
        <f t="shared" si="16"/>
        <v>1</v>
      </c>
      <c r="T68" s="265">
        <f t="shared" si="17"/>
        <v>1</v>
      </c>
      <c r="U68" s="128"/>
      <c r="V68" s="131"/>
      <c r="W68" s="280" t="str">
        <f t="shared" si="20"/>
        <v xml:space="preserve"> </v>
      </c>
      <c r="X68" s="280" t="s">
        <v>715</v>
      </c>
      <c r="Y68" s="117">
        <f t="shared" si="18"/>
        <v>0</v>
      </c>
      <c r="AF68" s="128"/>
      <c r="AJ68" s="131"/>
    </row>
    <row r="69" spans="1:36" x14ac:dyDescent="0.2">
      <c r="A69" s="117">
        <v>2</v>
      </c>
      <c r="B69" s="265">
        <v>1</v>
      </c>
      <c r="C69" s="265">
        <v>150</v>
      </c>
      <c r="D69" s="265">
        <v>150</v>
      </c>
      <c r="E69" s="117" t="s">
        <v>313</v>
      </c>
      <c r="F69" s="265" t="s">
        <v>715</v>
      </c>
      <c r="G69" s="265" t="s">
        <v>313</v>
      </c>
      <c r="H69" s="265" t="s">
        <v>313</v>
      </c>
      <c r="I69" s="128"/>
      <c r="J69" s="131"/>
      <c r="K69" s="267" t="s">
        <v>1047</v>
      </c>
      <c r="N69" s="117">
        <f t="shared" si="13"/>
        <v>0</v>
      </c>
      <c r="O69" s="275">
        <v>1</v>
      </c>
      <c r="P69" s="265">
        <f t="shared" si="19"/>
        <v>0</v>
      </c>
      <c r="Q69" s="117">
        <f t="shared" si="14"/>
        <v>0</v>
      </c>
      <c r="R69" s="265">
        <f t="shared" si="15"/>
        <v>0</v>
      </c>
      <c r="S69" s="265">
        <f t="shared" si="16"/>
        <v>1</v>
      </c>
      <c r="T69" s="265">
        <f t="shared" si="17"/>
        <v>1</v>
      </c>
      <c r="U69" s="128"/>
      <c r="V69" s="131"/>
      <c r="W69" s="280" t="str">
        <f t="shared" si="20"/>
        <v xml:space="preserve"> </v>
      </c>
      <c r="X69" s="280" t="s">
        <v>715</v>
      </c>
      <c r="Y69" s="117">
        <f t="shared" si="18"/>
        <v>0</v>
      </c>
      <c r="AF69" s="128"/>
      <c r="AJ69" s="131"/>
    </row>
    <row r="70" spans="1:36" x14ac:dyDescent="0.2">
      <c r="A70" s="117">
        <v>2</v>
      </c>
      <c r="B70" s="265">
        <v>1</v>
      </c>
      <c r="C70" s="265">
        <v>200</v>
      </c>
      <c r="D70" s="265">
        <v>200</v>
      </c>
      <c r="E70" s="117" t="s">
        <v>313</v>
      </c>
      <c r="F70" s="265" t="s">
        <v>715</v>
      </c>
      <c r="G70" s="265" t="s">
        <v>313</v>
      </c>
      <c r="H70" s="265" t="s">
        <v>313</v>
      </c>
      <c r="I70" s="128"/>
      <c r="J70" s="131"/>
      <c r="K70" s="267" t="s">
        <v>1048</v>
      </c>
      <c r="N70" s="117">
        <f t="shared" si="13"/>
        <v>0</v>
      </c>
      <c r="O70" s="275">
        <v>1</v>
      </c>
      <c r="P70" s="265">
        <f t="shared" si="19"/>
        <v>0</v>
      </c>
      <c r="Q70" s="117">
        <f t="shared" si="14"/>
        <v>0</v>
      </c>
      <c r="R70" s="265">
        <f t="shared" si="15"/>
        <v>0</v>
      </c>
      <c r="S70" s="265">
        <f t="shared" si="16"/>
        <v>1</v>
      </c>
      <c r="T70" s="265">
        <f t="shared" si="17"/>
        <v>1</v>
      </c>
      <c r="U70" s="128"/>
      <c r="V70" s="131"/>
      <c r="W70" s="280" t="str">
        <f t="shared" si="20"/>
        <v xml:space="preserve"> </v>
      </c>
      <c r="X70" s="280" t="s">
        <v>715</v>
      </c>
      <c r="Y70" s="117">
        <f t="shared" si="18"/>
        <v>0</v>
      </c>
      <c r="AF70" s="128"/>
      <c r="AJ70" s="131"/>
    </row>
    <row r="71" spans="1:36" x14ac:dyDescent="0.2">
      <c r="A71" s="117">
        <v>2</v>
      </c>
      <c r="B71" s="265">
        <v>1</v>
      </c>
      <c r="C71" s="265">
        <v>250</v>
      </c>
      <c r="D71" s="265">
        <v>250</v>
      </c>
      <c r="E71" s="117" t="s">
        <v>313</v>
      </c>
      <c r="F71" s="265" t="s">
        <v>715</v>
      </c>
      <c r="G71" s="265" t="s">
        <v>313</v>
      </c>
      <c r="H71" s="265" t="s">
        <v>313</v>
      </c>
      <c r="I71" s="128"/>
      <c r="J71" s="131"/>
      <c r="K71" s="267" t="s">
        <v>1049</v>
      </c>
      <c r="N71" s="117">
        <f t="shared" si="13"/>
        <v>0</v>
      </c>
      <c r="O71" s="275">
        <v>1</v>
      </c>
      <c r="P71" s="265">
        <f t="shared" si="19"/>
        <v>0</v>
      </c>
      <c r="Q71" s="117">
        <f t="shared" si="14"/>
        <v>0</v>
      </c>
      <c r="R71" s="265">
        <f t="shared" si="15"/>
        <v>0</v>
      </c>
      <c r="S71" s="265">
        <f t="shared" si="16"/>
        <v>1</v>
      </c>
      <c r="T71" s="265">
        <f t="shared" si="17"/>
        <v>1</v>
      </c>
      <c r="U71" s="128"/>
      <c r="V71" s="131"/>
      <c r="W71" s="280" t="str">
        <f t="shared" si="20"/>
        <v xml:space="preserve"> </v>
      </c>
      <c r="X71" s="280" t="s">
        <v>715</v>
      </c>
      <c r="Y71" s="117">
        <f t="shared" si="18"/>
        <v>0</v>
      </c>
      <c r="AF71" s="128"/>
      <c r="AJ71" s="131"/>
    </row>
    <row r="72" spans="1:36" x14ac:dyDescent="0.2">
      <c r="A72" s="117">
        <v>2</v>
      </c>
      <c r="B72" s="265">
        <v>1</v>
      </c>
      <c r="C72" s="265">
        <v>300</v>
      </c>
      <c r="D72" s="265">
        <v>300</v>
      </c>
      <c r="E72" s="117" t="s">
        <v>313</v>
      </c>
      <c r="F72" s="265" t="s">
        <v>715</v>
      </c>
      <c r="G72" s="265" t="s">
        <v>313</v>
      </c>
      <c r="H72" s="265" t="s">
        <v>313</v>
      </c>
      <c r="I72" s="128"/>
      <c r="J72" s="131"/>
      <c r="K72" s="267" t="s">
        <v>1050</v>
      </c>
      <c r="N72" s="117">
        <f t="shared" si="13"/>
        <v>0</v>
      </c>
      <c r="O72" s="275">
        <v>1</v>
      </c>
      <c r="P72" s="265">
        <f t="shared" si="19"/>
        <v>0</v>
      </c>
      <c r="Q72" s="117">
        <f t="shared" si="14"/>
        <v>0</v>
      </c>
      <c r="R72" s="265">
        <f t="shared" si="15"/>
        <v>0</v>
      </c>
      <c r="S72" s="265">
        <f t="shared" si="16"/>
        <v>1</v>
      </c>
      <c r="T72" s="265">
        <f t="shared" si="17"/>
        <v>1</v>
      </c>
      <c r="U72" s="128"/>
      <c r="V72" s="131"/>
      <c r="W72" s="280" t="str">
        <f t="shared" si="20"/>
        <v xml:space="preserve"> </v>
      </c>
      <c r="X72" s="280" t="s">
        <v>715</v>
      </c>
      <c r="Y72" s="117">
        <f t="shared" si="18"/>
        <v>0</v>
      </c>
      <c r="AF72" s="128"/>
      <c r="AJ72" s="131"/>
    </row>
    <row r="73" spans="1:36" x14ac:dyDescent="0.2">
      <c r="A73" s="117">
        <v>2</v>
      </c>
      <c r="B73" s="265">
        <v>1</v>
      </c>
      <c r="C73" s="265">
        <v>400</v>
      </c>
      <c r="D73" s="265">
        <v>400</v>
      </c>
      <c r="E73" s="117" t="s">
        <v>313</v>
      </c>
      <c r="F73" s="265" t="s">
        <v>715</v>
      </c>
      <c r="G73" s="265" t="s">
        <v>313</v>
      </c>
      <c r="H73" s="265" t="s">
        <v>313</v>
      </c>
      <c r="I73" s="128"/>
      <c r="J73" s="131"/>
      <c r="K73" s="267" t="s">
        <v>1051</v>
      </c>
      <c r="N73" s="117">
        <f t="shared" si="13"/>
        <v>0</v>
      </c>
      <c r="O73" s="275">
        <v>1</v>
      </c>
      <c r="P73" s="265">
        <f t="shared" si="19"/>
        <v>0</v>
      </c>
      <c r="Q73" s="117">
        <f t="shared" si="14"/>
        <v>0</v>
      </c>
      <c r="R73" s="265">
        <f t="shared" si="15"/>
        <v>0</v>
      </c>
      <c r="S73" s="265">
        <f t="shared" si="16"/>
        <v>1</v>
      </c>
      <c r="T73" s="265">
        <f t="shared" si="17"/>
        <v>1</v>
      </c>
      <c r="U73" s="128"/>
      <c r="V73" s="131"/>
      <c r="W73" s="280" t="str">
        <f t="shared" si="20"/>
        <v xml:space="preserve"> </v>
      </c>
      <c r="X73" s="280" t="s">
        <v>715</v>
      </c>
      <c r="Y73" s="117">
        <f t="shared" si="18"/>
        <v>0</v>
      </c>
      <c r="AF73" s="128"/>
      <c r="AJ73" s="131"/>
    </row>
    <row r="74" spans="1:36" x14ac:dyDescent="0.2">
      <c r="A74" s="117">
        <v>2</v>
      </c>
      <c r="B74" s="265">
        <v>1</v>
      </c>
      <c r="C74" s="265">
        <v>500</v>
      </c>
      <c r="D74" s="265">
        <v>500</v>
      </c>
      <c r="E74" s="117" t="s">
        <v>313</v>
      </c>
      <c r="F74" s="265" t="s">
        <v>715</v>
      </c>
      <c r="G74" s="265" t="s">
        <v>313</v>
      </c>
      <c r="H74" s="265" t="s">
        <v>313</v>
      </c>
      <c r="I74" s="128"/>
      <c r="J74" s="131"/>
      <c r="K74" s="267" t="s">
        <v>1052</v>
      </c>
      <c r="N74" s="117">
        <f t="shared" si="13"/>
        <v>0</v>
      </c>
      <c r="O74" s="275">
        <v>1</v>
      </c>
      <c r="P74" s="265">
        <f t="shared" si="19"/>
        <v>0</v>
      </c>
      <c r="Q74" s="117">
        <f t="shared" si="14"/>
        <v>0</v>
      </c>
      <c r="R74" s="265">
        <f t="shared" si="15"/>
        <v>0</v>
      </c>
      <c r="S74" s="265">
        <f t="shared" si="16"/>
        <v>1</v>
      </c>
      <c r="T74" s="265">
        <f t="shared" si="17"/>
        <v>1</v>
      </c>
      <c r="U74" s="128"/>
      <c r="V74" s="131"/>
      <c r="W74" s="280" t="str">
        <f t="shared" si="20"/>
        <v xml:space="preserve"> </v>
      </c>
      <c r="X74" s="280" t="s">
        <v>715</v>
      </c>
      <c r="Y74" s="117">
        <f t="shared" si="18"/>
        <v>0</v>
      </c>
      <c r="AF74" s="128"/>
      <c r="AJ74" s="131"/>
    </row>
    <row r="75" spans="1:36" x14ac:dyDescent="0.2">
      <c r="A75" s="117">
        <v>2</v>
      </c>
      <c r="B75" s="265">
        <v>1</v>
      </c>
      <c r="C75" s="265">
        <v>600</v>
      </c>
      <c r="D75" s="265">
        <v>600</v>
      </c>
      <c r="E75" s="117" t="s">
        <v>313</v>
      </c>
      <c r="F75" s="265" t="s">
        <v>715</v>
      </c>
      <c r="G75" s="265" t="s">
        <v>313</v>
      </c>
      <c r="H75" s="265" t="s">
        <v>313</v>
      </c>
      <c r="I75" s="128"/>
      <c r="J75" s="131"/>
      <c r="K75" s="267" t="s">
        <v>1053</v>
      </c>
      <c r="N75" s="117">
        <f t="shared" si="13"/>
        <v>0</v>
      </c>
      <c r="O75" s="275">
        <v>1</v>
      </c>
      <c r="P75" s="265">
        <f t="shared" si="19"/>
        <v>0</v>
      </c>
      <c r="Q75" s="117">
        <f t="shared" si="14"/>
        <v>0</v>
      </c>
      <c r="R75" s="265">
        <f t="shared" si="15"/>
        <v>0</v>
      </c>
      <c r="S75" s="265">
        <f t="shared" si="16"/>
        <v>1</v>
      </c>
      <c r="T75" s="265">
        <f t="shared" si="17"/>
        <v>1</v>
      </c>
      <c r="U75" s="128"/>
      <c r="V75" s="131"/>
      <c r="W75" s="280" t="str">
        <f t="shared" si="20"/>
        <v xml:space="preserve"> </v>
      </c>
      <c r="X75" s="280" t="s">
        <v>715</v>
      </c>
      <c r="Y75" s="117">
        <f t="shared" si="18"/>
        <v>0</v>
      </c>
      <c r="AF75" s="128"/>
      <c r="AJ75" s="131"/>
    </row>
    <row r="76" spans="1:36" x14ac:dyDescent="0.2">
      <c r="A76" s="117">
        <v>2</v>
      </c>
      <c r="B76" s="265">
        <v>1</v>
      </c>
      <c r="C76" s="265">
        <v>700</v>
      </c>
      <c r="D76" s="265">
        <v>700</v>
      </c>
      <c r="E76" s="117" t="s">
        <v>313</v>
      </c>
      <c r="F76" s="265" t="s">
        <v>715</v>
      </c>
      <c r="G76" s="265" t="s">
        <v>313</v>
      </c>
      <c r="H76" s="265" t="s">
        <v>313</v>
      </c>
      <c r="I76" s="128"/>
      <c r="J76" s="131"/>
      <c r="K76" s="267" t="s">
        <v>1054</v>
      </c>
      <c r="N76" s="117">
        <f t="shared" si="13"/>
        <v>0</v>
      </c>
      <c r="O76" s="275">
        <v>1</v>
      </c>
      <c r="P76" s="265">
        <f t="shared" si="19"/>
        <v>0</v>
      </c>
      <c r="Q76" s="117">
        <f t="shared" si="14"/>
        <v>0</v>
      </c>
      <c r="R76" s="265">
        <f t="shared" si="15"/>
        <v>0</v>
      </c>
      <c r="S76" s="265">
        <f t="shared" si="16"/>
        <v>1</v>
      </c>
      <c r="T76" s="265">
        <f t="shared" si="17"/>
        <v>1</v>
      </c>
      <c r="U76" s="128"/>
      <c r="V76" s="131"/>
      <c r="W76" s="280" t="str">
        <f t="shared" si="20"/>
        <v xml:space="preserve"> </v>
      </c>
      <c r="X76" s="280" t="s">
        <v>715</v>
      </c>
      <c r="Y76" s="117">
        <f t="shared" si="18"/>
        <v>0</v>
      </c>
      <c r="AF76" s="128"/>
      <c r="AJ76" s="131"/>
    </row>
    <row r="77" spans="1:36" x14ac:dyDescent="0.2">
      <c r="A77" s="117">
        <v>2</v>
      </c>
      <c r="B77" s="265">
        <v>1</v>
      </c>
      <c r="C77" s="265">
        <v>800</v>
      </c>
      <c r="D77" s="265">
        <v>800</v>
      </c>
      <c r="E77" s="117" t="s">
        <v>313</v>
      </c>
      <c r="F77" s="265" t="s">
        <v>715</v>
      </c>
      <c r="G77" s="265" t="s">
        <v>313</v>
      </c>
      <c r="H77" s="265" t="s">
        <v>313</v>
      </c>
      <c r="I77" s="128"/>
      <c r="J77" s="131"/>
      <c r="K77" s="267" t="s">
        <v>1055</v>
      </c>
      <c r="N77" s="117">
        <f t="shared" si="13"/>
        <v>0</v>
      </c>
      <c r="O77" s="275">
        <v>1</v>
      </c>
      <c r="P77" s="265">
        <f t="shared" si="19"/>
        <v>1</v>
      </c>
      <c r="Q77" s="117">
        <f t="shared" si="14"/>
        <v>0</v>
      </c>
      <c r="R77" s="265">
        <f t="shared" si="15"/>
        <v>0</v>
      </c>
      <c r="S77" s="265">
        <f t="shared" si="16"/>
        <v>1</v>
      </c>
      <c r="T77" s="265">
        <f t="shared" si="17"/>
        <v>1</v>
      </c>
      <c r="U77" s="128"/>
      <c r="V77" s="131"/>
      <c r="W77" s="280" t="str">
        <f t="shared" si="20"/>
        <v xml:space="preserve"> </v>
      </c>
      <c r="X77" s="280" t="s">
        <v>715</v>
      </c>
      <c r="Y77" s="117">
        <f t="shared" si="18"/>
        <v>0</v>
      </c>
      <c r="AF77" s="128"/>
      <c r="AJ77" s="131"/>
    </row>
    <row r="78" spans="1:36" x14ac:dyDescent="0.2">
      <c r="A78" s="117">
        <v>3</v>
      </c>
      <c r="B78" s="265">
        <v>0</v>
      </c>
      <c r="C78" s="265">
        <v>50</v>
      </c>
      <c r="D78" s="265">
        <v>50</v>
      </c>
      <c r="E78" s="117" t="s">
        <v>715</v>
      </c>
      <c r="F78" s="265" t="s">
        <v>313</v>
      </c>
      <c r="G78" s="265" t="s">
        <v>313</v>
      </c>
      <c r="H78" s="265" t="s">
        <v>313</v>
      </c>
      <c r="I78" s="128"/>
      <c r="J78" s="131"/>
      <c r="K78" s="267" t="s">
        <v>1056</v>
      </c>
      <c r="N78" s="117">
        <f t="shared" si="13"/>
        <v>0</v>
      </c>
      <c r="O78" s="275">
        <v>1</v>
      </c>
      <c r="P78" s="265">
        <f t="shared" si="19"/>
        <v>0</v>
      </c>
      <c r="Q78" s="117">
        <f t="shared" si="14"/>
        <v>1</v>
      </c>
      <c r="R78" s="265">
        <f t="shared" si="15"/>
        <v>1</v>
      </c>
      <c r="S78" s="265">
        <f t="shared" si="16"/>
        <v>1</v>
      </c>
      <c r="T78" s="265">
        <f t="shared" si="17"/>
        <v>1</v>
      </c>
      <c r="U78" s="128"/>
      <c r="V78" s="131"/>
      <c r="W78" s="280" t="str">
        <f t="shared" si="20"/>
        <v xml:space="preserve"> </v>
      </c>
      <c r="X78" s="280" t="s">
        <v>715</v>
      </c>
      <c r="Y78" s="117">
        <f t="shared" si="18"/>
        <v>0</v>
      </c>
      <c r="AF78" s="128"/>
      <c r="AJ78" s="131"/>
    </row>
    <row r="79" spans="1:36" x14ac:dyDescent="0.2">
      <c r="A79" s="117">
        <v>3</v>
      </c>
      <c r="B79" s="265">
        <v>0</v>
      </c>
      <c r="C79" s="265">
        <v>100</v>
      </c>
      <c r="D79" s="265">
        <v>800</v>
      </c>
      <c r="E79" s="117" t="s">
        <v>715</v>
      </c>
      <c r="F79" s="265" t="s">
        <v>313</v>
      </c>
      <c r="G79" s="265" t="s">
        <v>313</v>
      </c>
      <c r="H79" s="265" t="s">
        <v>313</v>
      </c>
      <c r="I79" s="128"/>
      <c r="J79" s="131"/>
      <c r="K79" s="173" t="s">
        <v>1057</v>
      </c>
      <c r="N79" s="117">
        <f t="shared" si="13"/>
        <v>0</v>
      </c>
      <c r="O79" s="275">
        <v>1</v>
      </c>
      <c r="P79" s="265">
        <f t="shared" si="19"/>
        <v>1</v>
      </c>
      <c r="Q79" s="117">
        <f t="shared" si="14"/>
        <v>1</v>
      </c>
      <c r="R79" s="265">
        <f t="shared" si="15"/>
        <v>1</v>
      </c>
      <c r="S79" s="265">
        <f t="shared" si="16"/>
        <v>1</v>
      </c>
      <c r="T79" s="265">
        <f t="shared" si="17"/>
        <v>1</v>
      </c>
      <c r="U79" s="128"/>
      <c r="V79" s="131"/>
      <c r="W79" s="280" t="str">
        <f t="shared" si="20"/>
        <v xml:space="preserve"> </v>
      </c>
      <c r="X79" s="280" t="s">
        <v>313</v>
      </c>
      <c r="Y79" s="117">
        <f t="shared" si="18"/>
        <v>0</v>
      </c>
      <c r="AF79" s="128"/>
      <c r="AJ79" s="131"/>
    </row>
    <row r="80" spans="1:36" x14ac:dyDescent="0.2">
      <c r="A80" s="117">
        <v>3</v>
      </c>
      <c r="B80" s="265">
        <v>0</v>
      </c>
      <c r="C80" s="265">
        <v>50</v>
      </c>
      <c r="D80" s="265">
        <v>50</v>
      </c>
      <c r="E80" s="117" t="s">
        <v>313</v>
      </c>
      <c r="F80" s="265" t="s">
        <v>715</v>
      </c>
      <c r="G80" s="265" t="s">
        <v>313</v>
      </c>
      <c r="H80" s="265" t="s">
        <v>313</v>
      </c>
      <c r="I80" s="128"/>
      <c r="J80" s="131"/>
      <c r="K80" s="267" t="s">
        <v>1058</v>
      </c>
      <c r="N80" s="117">
        <f t="shared" si="13"/>
        <v>0</v>
      </c>
      <c r="O80" s="275">
        <v>1</v>
      </c>
      <c r="P80" s="265">
        <f t="shared" si="19"/>
        <v>0</v>
      </c>
      <c r="Q80" s="117">
        <f t="shared" si="14"/>
        <v>0</v>
      </c>
      <c r="R80" s="265">
        <f t="shared" si="15"/>
        <v>0</v>
      </c>
      <c r="S80" s="265">
        <f t="shared" si="16"/>
        <v>1</v>
      </c>
      <c r="T80" s="265">
        <f t="shared" si="17"/>
        <v>1</v>
      </c>
      <c r="U80" s="128"/>
      <c r="V80" s="131"/>
      <c r="W80" s="280" t="str">
        <f t="shared" si="20"/>
        <v xml:space="preserve"> </v>
      </c>
      <c r="X80" s="280" t="s">
        <v>715</v>
      </c>
      <c r="Y80" s="117">
        <f t="shared" si="18"/>
        <v>0</v>
      </c>
      <c r="AF80" s="128"/>
      <c r="AJ80" s="131"/>
    </row>
    <row r="81" spans="1:36" x14ac:dyDescent="0.2">
      <c r="A81" s="117">
        <v>3</v>
      </c>
      <c r="B81" s="265">
        <v>0</v>
      </c>
      <c r="C81" s="265">
        <v>100</v>
      </c>
      <c r="D81" s="265">
        <v>800</v>
      </c>
      <c r="E81" s="117" t="s">
        <v>313</v>
      </c>
      <c r="F81" s="265" t="s">
        <v>715</v>
      </c>
      <c r="G81" s="265" t="s">
        <v>313</v>
      </c>
      <c r="H81" s="265" t="s">
        <v>313</v>
      </c>
      <c r="I81" s="128"/>
      <c r="J81" s="131"/>
      <c r="K81" s="267" t="s">
        <v>1082</v>
      </c>
      <c r="N81" s="117">
        <f t="shared" si="13"/>
        <v>0</v>
      </c>
      <c r="O81" s="275">
        <v>1</v>
      </c>
      <c r="P81" s="265">
        <f t="shared" si="19"/>
        <v>1</v>
      </c>
      <c r="Q81" s="117">
        <f t="shared" si="14"/>
        <v>0</v>
      </c>
      <c r="R81" s="265">
        <f t="shared" si="15"/>
        <v>0</v>
      </c>
      <c r="S81" s="265">
        <f t="shared" si="16"/>
        <v>1</v>
      </c>
      <c r="T81" s="265">
        <f t="shared" si="17"/>
        <v>1</v>
      </c>
      <c r="U81" s="128"/>
      <c r="V81" s="131"/>
      <c r="W81" s="280" t="str">
        <f t="shared" si="20"/>
        <v xml:space="preserve"> </v>
      </c>
      <c r="X81" s="280" t="s">
        <v>313</v>
      </c>
      <c r="Y81" s="117">
        <f t="shared" si="18"/>
        <v>0</v>
      </c>
      <c r="AF81" s="128"/>
      <c r="AJ81" s="131"/>
    </row>
    <row r="82" spans="1:36" x14ac:dyDescent="0.2">
      <c r="A82" s="117">
        <v>4</v>
      </c>
      <c r="B82" s="265">
        <v>1</v>
      </c>
      <c r="C82" s="265">
        <v>50</v>
      </c>
      <c r="D82" s="265">
        <v>50</v>
      </c>
      <c r="E82" s="117" t="s">
        <v>715</v>
      </c>
      <c r="F82" s="265" t="s">
        <v>313</v>
      </c>
      <c r="G82" s="265" t="s">
        <v>313</v>
      </c>
      <c r="H82" s="265" t="s">
        <v>313</v>
      </c>
      <c r="I82" s="128"/>
      <c r="J82" s="131"/>
      <c r="K82" s="267" t="s">
        <v>1059</v>
      </c>
      <c r="N82" s="117">
        <f t="shared" si="13"/>
        <v>0</v>
      </c>
      <c r="O82" s="275">
        <v>1</v>
      </c>
      <c r="P82" s="265">
        <f t="shared" si="19"/>
        <v>0</v>
      </c>
      <c r="Q82" s="117">
        <f t="shared" si="14"/>
        <v>1</v>
      </c>
      <c r="R82" s="265">
        <f t="shared" si="15"/>
        <v>1</v>
      </c>
      <c r="S82" s="265">
        <f t="shared" si="16"/>
        <v>1</v>
      </c>
      <c r="T82" s="265">
        <f t="shared" si="17"/>
        <v>1</v>
      </c>
      <c r="U82" s="128"/>
      <c r="V82" s="131"/>
      <c r="W82" s="280" t="str">
        <f t="shared" si="20"/>
        <v xml:space="preserve"> </v>
      </c>
      <c r="X82" s="280" t="s">
        <v>715</v>
      </c>
      <c r="Y82" s="117">
        <f t="shared" si="18"/>
        <v>0</v>
      </c>
      <c r="AF82" s="128"/>
      <c r="AJ82" s="131"/>
    </row>
    <row r="83" spans="1:36" x14ac:dyDescent="0.2">
      <c r="A83" s="117">
        <v>4</v>
      </c>
      <c r="B83" s="265">
        <v>1</v>
      </c>
      <c r="C83" s="265">
        <v>100</v>
      </c>
      <c r="D83" s="265">
        <v>800</v>
      </c>
      <c r="E83" s="117" t="s">
        <v>715</v>
      </c>
      <c r="F83" s="265" t="s">
        <v>313</v>
      </c>
      <c r="G83" s="265" t="s">
        <v>313</v>
      </c>
      <c r="H83" s="265" t="s">
        <v>313</v>
      </c>
      <c r="I83" s="128"/>
      <c r="J83" s="131"/>
      <c r="K83" s="267" t="s">
        <v>1083</v>
      </c>
      <c r="N83" s="117">
        <f t="shared" si="13"/>
        <v>0</v>
      </c>
      <c r="O83" s="275">
        <v>1</v>
      </c>
      <c r="P83" s="265">
        <f t="shared" si="19"/>
        <v>1</v>
      </c>
      <c r="Q83" s="117">
        <f t="shared" si="14"/>
        <v>1</v>
      </c>
      <c r="R83" s="265">
        <f t="shared" si="15"/>
        <v>1</v>
      </c>
      <c r="S83" s="265">
        <f t="shared" si="16"/>
        <v>1</v>
      </c>
      <c r="T83" s="265">
        <f t="shared" si="17"/>
        <v>1</v>
      </c>
      <c r="U83" s="128"/>
      <c r="V83" s="131"/>
      <c r="W83" s="280" t="str">
        <f t="shared" si="20"/>
        <v xml:space="preserve"> </v>
      </c>
      <c r="X83" s="280" t="s">
        <v>313</v>
      </c>
      <c r="Y83" s="117">
        <f t="shared" si="18"/>
        <v>0</v>
      </c>
      <c r="AF83" s="128"/>
      <c r="AJ83" s="131"/>
    </row>
    <row r="84" spans="1:36" x14ac:dyDescent="0.2">
      <c r="A84" s="117">
        <v>4</v>
      </c>
      <c r="B84" s="265">
        <v>1</v>
      </c>
      <c r="C84" s="265">
        <v>50</v>
      </c>
      <c r="D84" s="265">
        <v>50</v>
      </c>
      <c r="E84" s="117" t="s">
        <v>313</v>
      </c>
      <c r="F84" s="265" t="s">
        <v>715</v>
      </c>
      <c r="G84" s="265" t="s">
        <v>313</v>
      </c>
      <c r="H84" s="265" t="s">
        <v>313</v>
      </c>
      <c r="I84" s="128"/>
      <c r="J84" s="131"/>
      <c r="K84" s="267" t="s">
        <v>1064</v>
      </c>
      <c r="N84" s="117">
        <f t="shared" si="13"/>
        <v>0</v>
      </c>
      <c r="O84" s="275">
        <v>1</v>
      </c>
      <c r="P84" s="265">
        <f t="shared" si="19"/>
        <v>0</v>
      </c>
      <c r="Q84" s="117">
        <f t="shared" si="14"/>
        <v>0</v>
      </c>
      <c r="R84" s="265">
        <f t="shared" si="15"/>
        <v>0</v>
      </c>
      <c r="S84" s="265">
        <f t="shared" si="16"/>
        <v>1</v>
      </c>
      <c r="T84" s="265">
        <f t="shared" si="17"/>
        <v>1</v>
      </c>
      <c r="U84" s="128"/>
      <c r="V84" s="131"/>
      <c r="W84" s="280" t="str">
        <f t="shared" si="20"/>
        <v xml:space="preserve"> </v>
      </c>
      <c r="X84" s="280" t="s">
        <v>715</v>
      </c>
      <c r="Y84" s="117">
        <f t="shared" si="18"/>
        <v>0</v>
      </c>
      <c r="AF84" s="128"/>
      <c r="AJ84" s="131"/>
    </row>
    <row r="85" spans="1:36" x14ac:dyDescent="0.2">
      <c r="A85" s="117">
        <v>4</v>
      </c>
      <c r="B85" s="265">
        <v>1</v>
      </c>
      <c r="C85" s="265">
        <v>100</v>
      </c>
      <c r="D85" s="265">
        <v>800</v>
      </c>
      <c r="E85" s="117" t="s">
        <v>313</v>
      </c>
      <c r="F85" s="265" t="s">
        <v>715</v>
      </c>
      <c r="G85" s="265" t="s">
        <v>313</v>
      </c>
      <c r="H85" s="265" t="s">
        <v>313</v>
      </c>
      <c r="I85" s="128"/>
      <c r="J85" s="131"/>
      <c r="K85" s="267" t="s">
        <v>1084</v>
      </c>
      <c r="N85" s="117">
        <f t="shared" si="13"/>
        <v>0</v>
      </c>
      <c r="O85" s="275">
        <v>1</v>
      </c>
      <c r="P85" s="265">
        <f t="shared" si="19"/>
        <v>1</v>
      </c>
      <c r="Q85" s="117">
        <f t="shared" si="14"/>
        <v>0</v>
      </c>
      <c r="R85" s="265">
        <f t="shared" si="15"/>
        <v>0</v>
      </c>
      <c r="S85" s="265">
        <f t="shared" si="16"/>
        <v>1</v>
      </c>
      <c r="T85" s="265">
        <f t="shared" si="17"/>
        <v>1</v>
      </c>
      <c r="U85" s="128"/>
      <c r="V85" s="131"/>
      <c r="W85" s="280" t="str">
        <f t="shared" si="20"/>
        <v xml:space="preserve"> </v>
      </c>
      <c r="X85" s="280" t="s">
        <v>313</v>
      </c>
      <c r="Y85" s="117">
        <f t="shared" si="18"/>
        <v>0</v>
      </c>
      <c r="AF85" s="128"/>
      <c r="AJ85" s="131"/>
    </row>
    <row r="86" spans="1:36" x14ac:dyDescent="0.2">
      <c r="A86" s="117">
        <v>5</v>
      </c>
      <c r="B86" s="265">
        <v>0</v>
      </c>
      <c r="C86" s="265">
        <v>50</v>
      </c>
      <c r="D86" s="265">
        <v>50</v>
      </c>
      <c r="E86" s="117" t="s">
        <v>715</v>
      </c>
      <c r="F86" s="265" t="s">
        <v>313</v>
      </c>
      <c r="G86" s="265" t="s">
        <v>313</v>
      </c>
      <c r="H86" s="265" t="s">
        <v>313</v>
      </c>
      <c r="I86" s="128"/>
      <c r="J86" s="131"/>
      <c r="K86" s="267" t="s">
        <v>1061</v>
      </c>
      <c r="N86" s="117">
        <f t="shared" si="13"/>
        <v>0</v>
      </c>
      <c r="O86" s="275">
        <v>1</v>
      </c>
      <c r="P86" s="265">
        <f t="shared" si="19"/>
        <v>0</v>
      </c>
      <c r="Q86" s="117">
        <f t="shared" si="14"/>
        <v>1</v>
      </c>
      <c r="R86" s="265">
        <f t="shared" si="15"/>
        <v>1</v>
      </c>
      <c r="S86" s="265">
        <f t="shared" si="16"/>
        <v>1</v>
      </c>
      <c r="T86" s="265">
        <f t="shared" si="17"/>
        <v>1</v>
      </c>
      <c r="U86" s="128"/>
      <c r="V86" s="131"/>
      <c r="W86" s="280" t="str">
        <f t="shared" si="20"/>
        <v xml:space="preserve"> </v>
      </c>
      <c r="X86" s="280" t="s">
        <v>715</v>
      </c>
      <c r="Y86" s="117">
        <f t="shared" si="18"/>
        <v>0</v>
      </c>
      <c r="AF86" s="128"/>
      <c r="AJ86" s="131"/>
    </row>
    <row r="87" spans="1:36" x14ac:dyDescent="0.2">
      <c r="A87" s="117">
        <v>5</v>
      </c>
      <c r="B87" s="265">
        <v>0</v>
      </c>
      <c r="C87" s="265">
        <v>100</v>
      </c>
      <c r="D87" s="265">
        <v>800</v>
      </c>
      <c r="E87" s="117" t="s">
        <v>715</v>
      </c>
      <c r="F87" s="265" t="s">
        <v>313</v>
      </c>
      <c r="G87" s="265" t="s">
        <v>313</v>
      </c>
      <c r="H87" s="265" t="s">
        <v>313</v>
      </c>
      <c r="I87" s="128"/>
      <c r="J87" s="131"/>
      <c r="K87" s="267" t="s">
        <v>1085</v>
      </c>
      <c r="N87" s="117">
        <f t="shared" si="13"/>
        <v>0</v>
      </c>
      <c r="O87" s="275">
        <v>1</v>
      </c>
      <c r="P87" s="265">
        <f t="shared" si="19"/>
        <v>1</v>
      </c>
      <c r="Q87" s="117">
        <f t="shared" si="14"/>
        <v>1</v>
      </c>
      <c r="R87" s="265">
        <f t="shared" si="15"/>
        <v>1</v>
      </c>
      <c r="S87" s="265">
        <f t="shared" si="16"/>
        <v>1</v>
      </c>
      <c r="T87" s="265">
        <f t="shared" si="17"/>
        <v>1</v>
      </c>
      <c r="U87" s="128"/>
      <c r="V87" s="131"/>
      <c r="W87" s="280" t="str">
        <f t="shared" si="20"/>
        <v xml:space="preserve"> </v>
      </c>
      <c r="X87" s="280" t="s">
        <v>313</v>
      </c>
      <c r="Y87" s="117">
        <f t="shared" si="18"/>
        <v>0</v>
      </c>
      <c r="AF87" s="128"/>
      <c r="AJ87" s="131"/>
    </row>
    <row r="88" spans="1:36" x14ac:dyDescent="0.2">
      <c r="A88" s="117">
        <v>5</v>
      </c>
      <c r="B88" s="265">
        <v>0</v>
      </c>
      <c r="C88" s="265">
        <v>50</v>
      </c>
      <c r="D88" s="265">
        <v>50</v>
      </c>
      <c r="E88" s="117" t="s">
        <v>313</v>
      </c>
      <c r="F88" s="265" t="s">
        <v>715</v>
      </c>
      <c r="G88" s="265" t="s">
        <v>313</v>
      </c>
      <c r="H88" s="265" t="s">
        <v>313</v>
      </c>
      <c r="I88" s="128"/>
      <c r="J88" s="131"/>
      <c r="K88" s="267" t="s">
        <v>1062</v>
      </c>
      <c r="N88" s="117">
        <f t="shared" si="13"/>
        <v>0</v>
      </c>
      <c r="O88" s="275">
        <v>1</v>
      </c>
      <c r="P88" s="265">
        <f t="shared" si="19"/>
        <v>0</v>
      </c>
      <c r="Q88" s="117">
        <f t="shared" si="14"/>
        <v>0</v>
      </c>
      <c r="R88" s="265">
        <f t="shared" si="15"/>
        <v>0</v>
      </c>
      <c r="S88" s="265">
        <f t="shared" si="16"/>
        <v>1</v>
      </c>
      <c r="T88" s="265">
        <f t="shared" si="17"/>
        <v>1</v>
      </c>
      <c r="U88" s="128"/>
      <c r="V88" s="131"/>
      <c r="W88" s="280" t="str">
        <f t="shared" si="20"/>
        <v xml:space="preserve"> </v>
      </c>
      <c r="X88" s="280" t="s">
        <v>715</v>
      </c>
      <c r="Y88" s="117">
        <f t="shared" si="18"/>
        <v>0</v>
      </c>
      <c r="AF88" s="128"/>
      <c r="AJ88" s="131"/>
    </row>
    <row r="89" spans="1:36" x14ac:dyDescent="0.2">
      <c r="A89" s="117">
        <v>5</v>
      </c>
      <c r="B89" s="265">
        <v>0</v>
      </c>
      <c r="C89" s="265">
        <v>100</v>
      </c>
      <c r="D89" s="265">
        <v>800</v>
      </c>
      <c r="E89" s="117" t="s">
        <v>313</v>
      </c>
      <c r="F89" s="265" t="s">
        <v>715</v>
      </c>
      <c r="G89" s="265" t="s">
        <v>313</v>
      </c>
      <c r="H89" s="265" t="s">
        <v>313</v>
      </c>
      <c r="I89" s="128"/>
      <c r="J89" s="131"/>
      <c r="K89" s="267" t="s">
        <v>1086</v>
      </c>
      <c r="N89" s="117">
        <f t="shared" si="13"/>
        <v>0</v>
      </c>
      <c r="O89" s="275">
        <v>1</v>
      </c>
      <c r="P89" s="265">
        <f t="shared" si="19"/>
        <v>1</v>
      </c>
      <c r="Q89" s="117">
        <f t="shared" si="14"/>
        <v>0</v>
      </c>
      <c r="R89" s="265">
        <f t="shared" si="15"/>
        <v>0</v>
      </c>
      <c r="S89" s="265">
        <f t="shared" si="16"/>
        <v>1</v>
      </c>
      <c r="T89" s="265">
        <f t="shared" si="17"/>
        <v>1</v>
      </c>
      <c r="U89" s="128"/>
      <c r="V89" s="131"/>
      <c r="W89" s="280" t="str">
        <f t="shared" si="20"/>
        <v xml:space="preserve"> </v>
      </c>
      <c r="X89" s="280" t="s">
        <v>313</v>
      </c>
      <c r="Y89" s="117">
        <f t="shared" si="18"/>
        <v>0</v>
      </c>
      <c r="AF89" s="128"/>
      <c r="AJ89" s="131"/>
    </row>
    <row r="90" spans="1:36" x14ac:dyDescent="0.2">
      <c r="A90" s="117">
        <v>6</v>
      </c>
      <c r="B90" s="265">
        <v>1</v>
      </c>
      <c r="C90" s="265">
        <v>50</v>
      </c>
      <c r="D90" s="265">
        <v>50</v>
      </c>
      <c r="E90" s="117" t="s">
        <v>715</v>
      </c>
      <c r="F90" s="265" t="s">
        <v>313</v>
      </c>
      <c r="G90" s="265" t="s">
        <v>313</v>
      </c>
      <c r="H90" s="265" t="s">
        <v>313</v>
      </c>
      <c r="I90" s="128"/>
      <c r="J90" s="131"/>
      <c r="K90" s="267" t="s">
        <v>1063</v>
      </c>
      <c r="N90" s="117">
        <f t="shared" si="13"/>
        <v>0</v>
      </c>
      <c r="O90" s="275">
        <v>1</v>
      </c>
      <c r="P90" s="265">
        <f t="shared" si="19"/>
        <v>0</v>
      </c>
      <c r="Q90" s="117">
        <f t="shared" si="14"/>
        <v>1</v>
      </c>
      <c r="R90" s="265">
        <f t="shared" si="15"/>
        <v>1</v>
      </c>
      <c r="S90" s="265">
        <f t="shared" si="16"/>
        <v>1</v>
      </c>
      <c r="T90" s="265">
        <f t="shared" si="17"/>
        <v>1</v>
      </c>
      <c r="U90" s="128"/>
      <c r="V90" s="131"/>
      <c r="W90" s="280" t="str">
        <f t="shared" si="20"/>
        <v xml:space="preserve"> </v>
      </c>
      <c r="X90" s="280" t="s">
        <v>715</v>
      </c>
      <c r="Y90" s="117">
        <f t="shared" si="18"/>
        <v>0</v>
      </c>
      <c r="AF90" s="128"/>
      <c r="AJ90" s="131"/>
    </row>
    <row r="91" spans="1:36" x14ac:dyDescent="0.2">
      <c r="A91" s="117">
        <v>6</v>
      </c>
      <c r="B91" s="265">
        <v>1</v>
      </c>
      <c r="C91" s="265">
        <v>100</v>
      </c>
      <c r="D91" s="265">
        <v>800</v>
      </c>
      <c r="E91" s="117" t="s">
        <v>715</v>
      </c>
      <c r="F91" s="265" t="s">
        <v>313</v>
      </c>
      <c r="G91" s="265" t="s">
        <v>313</v>
      </c>
      <c r="H91" s="265" t="s">
        <v>313</v>
      </c>
      <c r="I91" s="128"/>
      <c r="J91" s="131"/>
      <c r="K91" s="267" t="s">
        <v>1087</v>
      </c>
      <c r="N91" s="117">
        <f t="shared" si="13"/>
        <v>0</v>
      </c>
      <c r="O91" s="275">
        <v>1</v>
      </c>
      <c r="P91" s="265">
        <f t="shared" si="19"/>
        <v>1</v>
      </c>
      <c r="Q91" s="117">
        <f t="shared" si="14"/>
        <v>1</v>
      </c>
      <c r="R91" s="265">
        <f t="shared" si="15"/>
        <v>1</v>
      </c>
      <c r="S91" s="265">
        <f t="shared" si="16"/>
        <v>1</v>
      </c>
      <c r="T91" s="265">
        <f t="shared" si="17"/>
        <v>1</v>
      </c>
      <c r="U91" s="128"/>
      <c r="V91" s="131"/>
      <c r="W91" s="280" t="str">
        <f t="shared" si="20"/>
        <v xml:space="preserve"> </v>
      </c>
      <c r="X91" s="280" t="s">
        <v>313</v>
      </c>
      <c r="Y91" s="117">
        <f t="shared" si="18"/>
        <v>0</v>
      </c>
      <c r="AF91" s="128"/>
      <c r="AJ91" s="131"/>
    </row>
    <row r="92" spans="1:36" x14ac:dyDescent="0.2">
      <c r="A92" s="117">
        <v>6</v>
      </c>
      <c r="B92" s="265">
        <v>1</v>
      </c>
      <c r="C92" s="265">
        <v>50</v>
      </c>
      <c r="D92" s="265">
        <v>50</v>
      </c>
      <c r="E92" s="117" t="s">
        <v>313</v>
      </c>
      <c r="F92" s="265" t="s">
        <v>715</v>
      </c>
      <c r="G92" s="265" t="s">
        <v>313</v>
      </c>
      <c r="H92" s="265" t="s">
        <v>313</v>
      </c>
      <c r="I92" s="128"/>
      <c r="J92" s="131"/>
      <c r="K92" s="267" t="s">
        <v>1060</v>
      </c>
      <c r="N92" s="117">
        <f t="shared" si="13"/>
        <v>0</v>
      </c>
      <c r="O92" s="275">
        <v>1</v>
      </c>
      <c r="P92" s="265">
        <f t="shared" si="19"/>
        <v>0</v>
      </c>
      <c r="Q92" s="117">
        <f t="shared" si="14"/>
        <v>0</v>
      </c>
      <c r="R92" s="265">
        <f t="shared" si="15"/>
        <v>0</v>
      </c>
      <c r="S92" s="265">
        <f t="shared" si="16"/>
        <v>1</v>
      </c>
      <c r="T92" s="265">
        <f t="shared" si="17"/>
        <v>1</v>
      </c>
      <c r="U92" s="128"/>
      <c r="V92" s="131"/>
      <c r="W92" s="280" t="str">
        <f t="shared" si="20"/>
        <v xml:space="preserve"> </v>
      </c>
      <c r="X92" s="280" t="s">
        <v>715</v>
      </c>
      <c r="Y92" s="117">
        <f t="shared" si="18"/>
        <v>0</v>
      </c>
      <c r="AF92" s="128"/>
      <c r="AJ92" s="131"/>
    </row>
    <row r="93" spans="1:36" x14ac:dyDescent="0.2">
      <c r="A93" s="117">
        <v>6</v>
      </c>
      <c r="B93" s="265">
        <v>1</v>
      </c>
      <c r="C93" s="265">
        <v>100</v>
      </c>
      <c r="D93" s="265">
        <v>800</v>
      </c>
      <c r="E93" s="117" t="s">
        <v>313</v>
      </c>
      <c r="F93" s="265" t="s">
        <v>715</v>
      </c>
      <c r="G93" s="265" t="s">
        <v>313</v>
      </c>
      <c r="H93" s="265" t="s">
        <v>313</v>
      </c>
      <c r="I93" s="235"/>
      <c r="J93" s="286"/>
      <c r="K93" s="267" t="s">
        <v>1088</v>
      </c>
      <c r="N93" s="117">
        <f t="shared" si="13"/>
        <v>0</v>
      </c>
      <c r="O93" s="275">
        <v>1</v>
      </c>
      <c r="P93" s="265">
        <f t="shared" si="19"/>
        <v>1</v>
      </c>
      <c r="Q93" s="117">
        <f t="shared" si="14"/>
        <v>0</v>
      </c>
      <c r="R93" s="265">
        <f t="shared" si="15"/>
        <v>0</v>
      </c>
      <c r="S93" s="265">
        <f t="shared" si="16"/>
        <v>1</v>
      </c>
      <c r="T93" s="265">
        <f t="shared" si="17"/>
        <v>1</v>
      </c>
      <c r="U93" s="235"/>
      <c r="V93" s="286"/>
      <c r="W93" s="280" t="str">
        <f t="shared" si="20"/>
        <v xml:space="preserve"> </v>
      </c>
      <c r="X93" s="280" t="s">
        <v>313</v>
      </c>
      <c r="Y93" s="117">
        <f t="shared" si="18"/>
        <v>0</v>
      </c>
      <c r="AF93" s="128"/>
      <c r="AJ93" s="131"/>
    </row>
    <row r="94" spans="1:36" x14ac:dyDescent="0.2">
      <c r="AF94" s="128"/>
      <c r="AJ94" s="131"/>
    </row>
    <row r="95" spans="1:36" x14ac:dyDescent="0.2">
      <c r="AF95" s="128"/>
      <c r="AJ95" s="131"/>
    </row>
    <row r="96" spans="1:36" x14ac:dyDescent="0.2">
      <c r="A96" s="1024" t="s">
        <v>1107</v>
      </c>
      <c r="B96" s="1025"/>
      <c r="C96" s="1025"/>
      <c r="D96" s="1025"/>
      <c r="E96" s="1026"/>
      <c r="AF96" s="128"/>
      <c r="AJ96" s="131"/>
    </row>
    <row r="97" spans="1:36" x14ac:dyDescent="0.2">
      <c r="B97" s="1023" t="s">
        <v>948</v>
      </c>
      <c r="C97" s="1023"/>
      <c r="D97" s="1023" t="s">
        <v>1066</v>
      </c>
      <c r="E97" s="1023"/>
      <c r="AF97" s="1032" t="s">
        <v>1093</v>
      </c>
      <c r="AG97" s="1032"/>
      <c r="AJ97" s="131"/>
    </row>
    <row r="98" spans="1:36" x14ac:dyDescent="0.2">
      <c r="A98" s="268" t="s">
        <v>955</v>
      </c>
      <c r="B98" s="268" t="s">
        <v>964</v>
      </c>
      <c r="C98" s="268" t="s">
        <v>965</v>
      </c>
      <c r="D98" s="268" t="s">
        <v>964</v>
      </c>
      <c r="E98" s="268" t="s">
        <v>965</v>
      </c>
      <c r="K98" s="267" t="s">
        <v>951</v>
      </c>
      <c r="L98" s="267" t="s">
        <v>1240</v>
      </c>
      <c r="N98" s="268" t="s">
        <v>955</v>
      </c>
      <c r="O98" s="269" t="s">
        <v>948</v>
      </c>
      <c r="P98" s="268" t="s">
        <v>1066</v>
      </c>
      <c r="W98" s="280" t="s">
        <v>1078</v>
      </c>
      <c r="X98" s="280" t="s">
        <v>1077</v>
      </c>
      <c r="Y98" s="267" t="s">
        <v>951</v>
      </c>
      <c r="AC98" s="288" t="s">
        <v>951</v>
      </c>
      <c r="AD98" s="93" t="str">
        <f>IF(VLOOKUP("Y",W99:Y108,2,FALSE)="Y",VLOOKUP("Y",W99:Y108,3,FALSE),IF(LEN(P0Q2=3),VLOOKUP("Y",W99:Y108,3,FALSE)&amp;".0"&amp;+P0Q2,VLOOKUP("Y",W99:Y108,3,FALSE)&amp;".00"&amp;+P0Q2))</f>
        <v>2B.01C</v>
      </c>
      <c r="AF98" s="272" t="s">
        <v>717</v>
      </c>
      <c r="AG98" s="272" t="s">
        <v>1094</v>
      </c>
      <c r="AJ98" s="131"/>
    </row>
    <row r="99" spans="1:36" x14ac:dyDescent="0.2">
      <c r="A99" s="278" t="s">
        <v>541</v>
      </c>
      <c r="B99" s="265">
        <v>0</v>
      </c>
      <c r="C99" s="265">
        <v>300</v>
      </c>
      <c r="D99" s="117">
        <v>0</v>
      </c>
      <c r="E99" s="117">
        <f>IF(P1Q1="Head",2500,5000)</f>
        <v>2500</v>
      </c>
      <c r="F99" s="282" t="s">
        <v>2311</v>
      </c>
      <c r="G99" s="283"/>
      <c r="H99" s="283"/>
      <c r="I99" s="283"/>
      <c r="J99" s="284"/>
      <c r="K99" s="610" t="s">
        <v>1068</v>
      </c>
      <c r="L99" s="117"/>
      <c r="N99" s="117">
        <f t="shared" ref="N99:N108" si="21">IF(A99=$I$6,1,0)</f>
        <v>1</v>
      </c>
      <c r="O99" s="265">
        <f>IF(AND($E$2&gt;=B99,$E$2&lt;=C99),1,0)</f>
        <v>0</v>
      </c>
      <c r="P99" s="265">
        <f t="shared" ref="P99:P108" si="22">IF(AND($E$3&gt;D99,$E$3&lt;=E99),1,0)</f>
        <v>0</v>
      </c>
      <c r="Q99" s="282"/>
      <c r="R99" s="283"/>
      <c r="S99" s="283"/>
      <c r="T99" s="283"/>
      <c r="U99" s="283"/>
      <c r="V99" s="284"/>
      <c r="W99" s="280" t="str">
        <f>IF(Y99&lt;&gt;0,"Y"," ")</f>
        <v xml:space="preserve"> </v>
      </c>
      <c r="X99" s="280" t="s">
        <v>715</v>
      </c>
      <c r="Y99" s="117">
        <f t="shared" ref="Y99:Y108" si="23">IF(MIN(N99:V99)=1,+K99,)</f>
        <v>0</v>
      </c>
      <c r="AF99" s="117">
        <v>60</v>
      </c>
      <c r="AG99" s="117">
        <v>45</v>
      </c>
      <c r="AI99" s="50">
        <f>VLOOKUP("y",W99:AG108,10,FALSE)</f>
        <v>60</v>
      </c>
      <c r="AJ99" s="50">
        <f>VLOOKUP("y",W99:AG108,11,FALSE)</f>
        <v>45</v>
      </c>
    </row>
    <row r="100" spans="1:36" x14ac:dyDescent="0.2">
      <c r="A100" s="278" t="s">
        <v>541</v>
      </c>
      <c r="B100" s="265">
        <v>400</v>
      </c>
      <c r="C100" s="265">
        <v>800</v>
      </c>
      <c r="D100" s="117">
        <v>0</v>
      </c>
      <c r="E100" s="117">
        <f>IF(P1Q1="Head",2500,5000)</f>
        <v>2500</v>
      </c>
      <c r="F100" s="128" t="s">
        <v>2311</v>
      </c>
      <c r="J100" s="131"/>
      <c r="K100" s="267" t="s">
        <v>1068</v>
      </c>
      <c r="L100" s="117"/>
      <c r="N100" s="117">
        <f t="shared" si="21"/>
        <v>1</v>
      </c>
      <c r="O100" s="265">
        <f t="shared" ref="O100:O108" si="24">IF(AND($E$2&gt;=B100,$E$2&lt;=C100),1,0)</f>
        <v>1</v>
      </c>
      <c r="P100" s="265">
        <f t="shared" si="22"/>
        <v>0</v>
      </c>
      <c r="Q100" s="128"/>
      <c r="V100" s="131"/>
      <c r="W100" s="280" t="str">
        <f t="shared" ref="W100:W108" si="25">IF(Y100&lt;&gt;0,"Y"," ")</f>
        <v xml:space="preserve"> </v>
      </c>
      <c r="X100" s="280" t="s">
        <v>715</v>
      </c>
      <c r="Y100" s="117">
        <f t="shared" si="23"/>
        <v>0</v>
      </c>
      <c r="AF100" s="117">
        <v>60</v>
      </c>
      <c r="AG100" s="117">
        <v>45</v>
      </c>
      <c r="AJ100" s="131"/>
    </row>
    <row r="101" spans="1:36" x14ac:dyDescent="0.2">
      <c r="A101" s="278" t="s">
        <v>541</v>
      </c>
      <c r="B101" s="265">
        <v>0</v>
      </c>
      <c r="C101" s="265">
        <v>800</v>
      </c>
      <c r="D101" s="117">
        <f>IF(P1Q1="Head",2501,5001)</f>
        <v>2501</v>
      </c>
      <c r="E101" s="117">
        <v>10000</v>
      </c>
      <c r="F101" s="128" t="s">
        <v>2311</v>
      </c>
      <c r="J101" s="131"/>
      <c r="K101" s="267" t="s">
        <v>1069</v>
      </c>
      <c r="L101" s="117"/>
      <c r="N101" s="117">
        <f t="shared" si="21"/>
        <v>1</v>
      </c>
      <c r="O101" s="265">
        <f t="shared" si="24"/>
        <v>1</v>
      </c>
      <c r="P101" s="265">
        <f t="shared" si="22"/>
        <v>1</v>
      </c>
      <c r="Q101" s="128"/>
      <c r="V101" s="131"/>
      <c r="W101" s="280" t="str">
        <f t="shared" si="25"/>
        <v>Y</v>
      </c>
      <c r="X101" s="280" t="s">
        <v>715</v>
      </c>
      <c r="Y101" s="117" t="str">
        <f t="shared" si="23"/>
        <v>2B.01C</v>
      </c>
      <c r="AF101" s="117">
        <v>60</v>
      </c>
      <c r="AG101" s="117">
        <v>45</v>
      </c>
      <c r="AJ101" s="131"/>
    </row>
    <row r="102" spans="1:36" x14ac:dyDescent="0.2">
      <c r="A102" s="278" t="s">
        <v>695</v>
      </c>
      <c r="B102" s="265">
        <v>0</v>
      </c>
      <c r="C102" s="265">
        <v>500</v>
      </c>
      <c r="D102" s="117">
        <v>0</v>
      </c>
      <c r="E102" s="117">
        <v>10000</v>
      </c>
      <c r="F102" s="128"/>
      <c r="J102" s="131"/>
      <c r="K102" s="267" t="s">
        <v>1071</v>
      </c>
      <c r="L102" s="117"/>
      <c r="N102" s="117">
        <f t="shared" si="21"/>
        <v>0</v>
      </c>
      <c r="O102" s="265">
        <f t="shared" si="24"/>
        <v>0</v>
      </c>
      <c r="P102" s="265">
        <f t="shared" si="22"/>
        <v>1</v>
      </c>
      <c r="Q102" s="128"/>
      <c r="V102" s="131"/>
      <c r="W102" s="280" t="str">
        <f t="shared" si="25"/>
        <v xml:space="preserve"> </v>
      </c>
      <c r="X102" s="280" t="s">
        <v>715</v>
      </c>
      <c r="Y102" s="117">
        <f t="shared" si="23"/>
        <v>0</v>
      </c>
      <c r="AF102" s="117">
        <v>60</v>
      </c>
      <c r="AG102" s="117">
        <v>45</v>
      </c>
      <c r="AJ102" s="131"/>
    </row>
    <row r="103" spans="1:36" x14ac:dyDescent="0.2">
      <c r="A103" s="278" t="s">
        <v>542</v>
      </c>
      <c r="B103" s="265">
        <v>0</v>
      </c>
      <c r="C103" s="265">
        <v>500</v>
      </c>
      <c r="D103" s="117">
        <v>0</v>
      </c>
      <c r="E103" s="117">
        <v>10000</v>
      </c>
      <c r="F103" s="128"/>
      <c r="J103" s="131"/>
      <c r="K103" s="267" t="s">
        <v>1070</v>
      </c>
      <c r="L103" s="117"/>
      <c r="N103" s="117">
        <f t="shared" si="21"/>
        <v>0</v>
      </c>
      <c r="O103" s="265">
        <f t="shared" si="24"/>
        <v>0</v>
      </c>
      <c r="P103" s="265">
        <f t="shared" si="22"/>
        <v>1</v>
      </c>
      <c r="Q103" s="128"/>
      <c r="V103" s="131"/>
      <c r="W103" s="280" t="str">
        <f t="shared" si="25"/>
        <v xml:space="preserve"> </v>
      </c>
      <c r="X103" s="280" t="s">
        <v>715</v>
      </c>
      <c r="Y103" s="117">
        <f t="shared" si="23"/>
        <v>0</v>
      </c>
      <c r="AF103" s="117">
        <v>65</v>
      </c>
      <c r="AG103" s="117">
        <v>45</v>
      </c>
      <c r="AJ103" s="131"/>
    </row>
    <row r="104" spans="1:36" x14ac:dyDescent="0.2">
      <c r="A104" s="278" t="s">
        <v>656</v>
      </c>
      <c r="B104" s="265">
        <v>0</v>
      </c>
      <c r="C104" s="265">
        <v>800</v>
      </c>
      <c r="D104" s="117">
        <v>0</v>
      </c>
      <c r="E104" s="117">
        <f>IF(P1Q1="Head",2500,5000)</f>
        <v>2500</v>
      </c>
      <c r="F104" s="128" t="s">
        <v>2311</v>
      </c>
      <c r="J104" s="131"/>
      <c r="K104" s="267" t="s">
        <v>1072</v>
      </c>
      <c r="L104" s="267" t="s">
        <v>1091</v>
      </c>
      <c r="N104" s="117">
        <f t="shared" si="21"/>
        <v>0</v>
      </c>
      <c r="O104" s="265">
        <f t="shared" si="24"/>
        <v>1</v>
      </c>
      <c r="P104" s="265">
        <f t="shared" si="22"/>
        <v>0</v>
      </c>
      <c r="Q104" s="128"/>
      <c r="V104" s="131"/>
      <c r="W104" s="280" t="str">
        <f t="shared" si="25"/>
        <v xml:space="preserve"> </v>
      </c>
      <c r="X104" s="280" t="s">
        <v>715</v>
      </c>
      <c r="Y104" s="117">
        <f t="shared" si="23"/>
        <v>0</v>
      </c>
      <c r="AF104" s="117">
        <v>65</v>
      </c>
      <c r="AG104" s="117">
        <v>20</v>
      </c>
      <c r="AJ104" s="131"/>
    </row>
    <row r="105" spans="1:36" x14ac:dyDescent="0.2">
      <c r="A105" s="278" t="s">
        <v>656</v>
      </c>
      <c r="B105" s="265">
        <v>0</v>
      </c>
      <c r="C105" s="265">
        <v>800</v>
      </c>
      <c r="D105" s="117">
        <f>IF(P1Q1="Head",2501,5001)</f>
        <v>2501</v>
      </c>
      <c r="E105" s="117">
        <v>10000</v>
      </c>
      <c r="F105" s="128" t="s">
        <v>2311</v>
      </c>
      <c r="J105" s="131"/>
      <c r="K105" s="267" t="s">
        <v>1073</v>
      </c>
      <c r="L105" s="267" t="s">
        <v>1091</v>
      </c>
      <c r="N105" s="117">
        <f t="shared" si="21"/>
        <v>0</v>
      </c>
      <c r="O105" s="265">
        <f t="shared" si="24"/>
        <v>1</v>
      </c>
      <c r="P105" s="265">
        <f t="shared" si="22"/>
        <v>1</v>
      </c>
      <c r="Q105" s="128"/>
      <c r="V105" s="131"/>
      <c r="W105" s="280" t="str">
        <f t="shared" si="25"/>
        <v xml:space="preserve"> </v>
      </c>
      <c r="X105" s="280" t="s">
        <v>715</v>
      </c>
      <c r="Y105" s="117">
        <f t="shared" si="23"/>
        <v>0</v>
      </c>
      <c r="AF105" s="117">
        <v>65</v>
      </c>
      <c r="AG105" s="117">
        <v>20</v>
      </c>
      <c r="AJ105" s="131"/>
    </row>
    <row r="106" spans="1:36" x14ac:dyDescent="0.2">
      <c r="A106" s="278" t="s">
        <v>710</v>
      </c>
      <c r="B106" s="265">
        <v>0</v>
      </c>
      <c r="C106" s="265">
        <v>300</v>
      </c>
      <c r="D106" s="117">
        <v>0</v>
      </c>
      <c r="E106" s="117">
        <v>10000</v>
      </c>
      <c r="F106" s="128"/>
      <c r="J106" s="131"/>
      <c r="K106" s="267" t="s">
        <v>1074</v>
      </c>
      <c r="L106" s="267" t="s">
        <v>1092</v>
      </c>
      <c r="N106" s="117">
        <f t="shared" si="21"/>
        <v>0</v>
      </c>
      <c r="O106" s="265">
        <f t="shared" si="24"/>
        <v>0</v>
      </c>
      <c r="P106" s="265">
        <f t="shared" si="22"/>
        <v>1</v>
      </c>
      <c r="Q106" s="128"/>
      <c r="V106" s="131"/>
      <c r="W106" s="280" t="str">
        <f t="shared" si="25"/>
        <v xml:space="preserve"> </v>
      </c>
      <c r="X106" s="280" t="s">
        <v>715</v>
      </c>
      <c r="Y106" s="117">
        <f t="shared" si="23"/>
        <v>0</v>
      </c>
      <c r="AF106" s="117">
        <v>65</v>
      </c>
      <c r="AG106" s="117">
        <v>20</v>
      </c>
      <c r="AJ106" s="131"/>
    </row>
    <row r="107" spans="1:36" x14ac:dyDescent="0.2">
      <c r="A107" s="278" t="s">
        <v>711</v>
      </c>
      <c r="B107" s="265">
        <v>0</v>
      </c>
      <c r="C107" s="265">
        <v>800</v>
      </c>
      <c r="D107" s="117">
        <v>0</v>
      </c>
      <c r="E107" s="117">
        <f>IF(P1Q1="Head",2500,5000)</f>
        <v>2500</v>
      </c>
      <c r="F107" s="128" t="s">
        <v>2311</v>
      </c>
      <c r="J107" s="131"/>
      <c r="K107" s="267" t="s">
        <v>1065</v>
      </c>
      <c r="L107" s="117"/>
      <c r="N107" s="117">
        <f t="shared" si="21"/>
        <v>0</v>
      </c>
      <c r="O107" s="265">
        <f t="shared" si="24"/>
        <v>1</v>
      </c>
      <c r="P107" s="265">
        <f t="shared" si="22"/>
        <v>0</v>
      </c>
      <c r="Q107" s="128"/>
      <c r="V107" s="131"/>
      <c r="W107" s="280" t="str">
        <f t="shared" si="25"/>
        <v xml:space="preserve"> </v>
      </c>
      <c r="X107" s="280" t="s">
        <v>715</v>
      </c>
      <c r="Y107" s="117">
        <f t="shared" si="23"/>
        <v>0</v>
      </c>
      <c r="AF107" s="117">
        <v>60</v>
      </c>
      <c r="AG107" s="117">
        <v>45</v>
      </c>
      <c r="AJ107" s="131"/>
    </row>
    <row r="108" spans="1:36" x14ac:dyDescent="0.2">
      <c r="A108" s="278" t="s">
        <v>711</v>
      </c>
      <c r="B108" s="265">
        <v>0</v>
      </c>
      <c r="C108" s="265">
        <v>800</v>
      </c>
      <c r="D108" s="117">
        <f>IF(P1Q1="Head",2501,5001)</f>
        <v>2501</v>
      </c>
      <c r="E108" s="117">
        <v>10000</v>
      </c>
      <c r="F108" s="128" t="s">
        <v>2311</v>
      </c>
      <c r="G108" s="285"/>
      <c r="H108" s="285"/>
      <c r="I108" s="285"/>
      <c r="J108" s="286"/>
      <c r="K108" s="267" t="s">
        <v>1075</v>
      </c>
      <c r="L108" s="117"/>
      <c r="N108" s="117">
        <f t="shared" si="21"/>
        <v>0</v>
      </c>
      <c r="O108" s="265">
        <f t="shared" si="24"/>
        <v>1</v>
      </c>
      <c r="P108" s="265">
        <f t="shared" si="22"/>
        <v>1</v>
      </c>
      <c r="Q108" s="235"/>
      <c r="R108" s="285"/>
      <c r="S108" s="285"/>
      <c r="T108" s="285"/>
      <c r="U108" s="285"/>
      <c r="V108" s="286"/>
      <c r="W108" s="280" t="str">
        <f t="shared" si="25"/>
        <v xml:space="preserve"> </v>
      </c>
      <c r="X108" s="280" t="s">
        <v>715</v>
      </c>
      <c r="Y108" s="117">
        <f t="shared" si="23"/>
        <v>0</v>
      </c>
      <c r="AF108" s="117">
        <v>60</v>
      </c>
      <c r="AG108" s="117">
        <v>45</v>
      </c>
      <c r="AJ108" s="131"/>
    </row>
    <row r="109" spans="1:36" x14ac:dyDescent="0.2">
      <c r="AF109" s="128"/>
      <c r="AJ109" s="131"/>
    </row>
    <row r="110" spans="1:36" x14ac:dyDescent="0.2">
      <c r="AF110" s="128"/>
      <c r="AJ110" s="131"/>
    </row>
    <row r="111" spans="1:36" x14ac:dyDescent="0.2">
      <c r="A111" s="1024" t="s">
        <v>1108</v>
      </c>
      <c r="B111" s="1025"/>
      <c r="C111" s="1025"/>
      <c r="D111" s="1026"/>
      <c r="AF111" s="128"/>
      <c r="AJ111" s="131"/>
    </row>
    <row r="112" spans="1:36" x14ac:dyDescent="0.2">
      <c r="B112" s="268" t="s">
        <v>999</v>
      </c>
      <c r="C112" s="1023" t="s">
        <v>948</v>
      </c>
      <c r="D112" s="1023"/>
      <c r="N112" s="268" t="s">
        <v>708</v>
      </c>
      <c r="O112" s="268" t="s">
        <v>999</v>
      </c>
      <c r="Q112" s="927" t="s">
        <v>260</v>
      </c>
      <c r="R112" s="927"/>
      <c r="AF112" s="128"/>
      <c r="AJ112" s="131"/>
    </row>
    <row r="113" spans="1:36" x14ac:dyDescent="0.2">
      <c r="A113" s="268" t="s">
        <v>1109</v>
      </c>
      <c r="B113" s="268" t="s">
        <v>967</v>
      </c>
      <c r="C113" s="268" t="s">
        <v>964</v>
      </c>
      <c r="D113" s="268" t="s">
        <v>965</v>
      </c>
      <c r="E113" s="268" t="s">
        <v>760</v>
      </c>
      <c r="F113" s="268" t="s">
        <v>952</v>
      </c>
      <c r="G113" s="268" t="s">
        <v>991</v>
      </c>
      <c r="H113" s="268" t="s">
        <v>992</v>
      </c>
      <c r="N113" s="268" t="s">
        <v>1042</v>
      </c>
      <c r="O113" s="268" t="s">
        <v>967</v>
      </c>
      <c r="P113" s="269" t="s">
        <v>948</v>
      </c>
      <c r="Q113" s="268" t="s">
        <v>760</v>
      </c>
      <c r="R113" s="269" t="s">
        <v>952</v>
      </c>
      <c r="S113" s="269" t="s">
        <v>991</v>
      </c>
      <c r="T113" s="268" t="s">
        <v>992</v>
      </c>
      <c r="W113" s="280" t="s">
        <v>1078</v>
      </c>
      <c r="X113" s="280" t="s">
        <v>1077</v>
      </c>
      <c r="Y113" s="267" t="s">
        <v>951</v>
      </c>
      <c r="AC113" s="288" t="s">
        <v>951</v>
      </c>
      <c r="AD113" s="93" t="str">
        <f>IF(VLOOKUP("Y",W114:Y126,2,FALSE)="Y",VLOOKUP("Y",W114:Y126,3,FALSE),IF(P0Q2&gt;99,VLOOKUP("Y",W114:Y126,3,FALSE)&amp;".0"&amp;+P0Q2,VLOOKUP("Y",W114:Y126,3,FALSE)&amp;".00"&amp;+P0Q2))</f>
        <v>B91.54.352.0800</v>
      </c>
      <c r="AF113" s="128"/>
      <c r="AJ113" s="131"/>
    </row>
    <row r="114" spans="1:36" x14ac:dyDescent="0.2">
      <c r="A114" s="278" t="s">
        <v>541</v>
      </c>
      <c r="B114" s="265">
        <v>0</v>
      </c>
      <c r="C114" s="265">
        <v>0</v>
      </c>
      <c r="D114" s="265">
        <v>800</v>
      </c>
      <c r="E114" s="117" t="s">
        <v>715</v>
      </c>
      <c r="F114" s="265" t="s">
        <v>313</v>
      </c>
      <c r="G114" s="265" t="s">
        <v>313</v>
      </c>
      <c r="H114" s="265" t="s">
        <v>313</v>
      </c>
      <c r="I114" s="282"/>
      <c r="J114" s="284"/>
      <c r="K114" s="267" t="s">
        <v>1089</v>
      </c>
      <c r="N114" s="117">
        <f t="shared" ref="N114:N126" si="26">IF(A114=$I$6,1,0)</f>
        <v>1</v>
      </c>
      <c r="O114" s="275">
        <v>1</v>
      </c>
      <c r="P114" s="265">
        <f>IF(AND($E$2&gt;=C114,$E$2&lt;=D114),1,0)</f>
        <v>1</v>
      </c>
      <c r="Q114" s="275">
        <v>1</v>
      </c>
      <c r="R114" s="275">
        <v>1</v>
      </c>
      <c r="S114" s="275">
        <v>1</v>
      </c>
      <c r="T114" s="275">
        <v>1</v>
      </c>
      <c r="U114" s="282"/>
      <c r="V114" s="284"/>
      <c r="W114" s="280" t="str">
        <f>IF(Y114&lt;&gt;0,"Y"," ")</f>
        <v>Y</v>
      </c>
      <c r="X114" s="280" t="s">
        <v>313</v>
      </c>
      <c r="Y114" s="117" t="str">
        <f t="shared" ref="Y114:Y126" si="27">IF(MIN(N114:V114)=1,+K114,)</f>
        <v>B91.54.352</v>
      </c>
      <c r="AF114" s="128"/>
      <c r="AJ114" s="131"/>
    </row>
    <row r="115" spans="1:36" x14ac:dyDescent="0.2">
      <c r="A115" s="278" t="s">
        <v>695</v>
      </c>
      <c r="B115" s="265">
        <v>0</v>
      </c>
      <c r="C115" s="265">
        <v>0</v>
      </c>
      <c r="D115" s="265">
        <v>500</v>
      </c>
      <c r="E115" s="117" t="s">
        <v>715</v>
      </c>
      <c r="F115" s="265" t="s">
        <v>313</v>
      </c>
      <c r="G115" s="265" t="s">
        <v>313</v>
      </c>
      <c r="H115" s="265" t="s">
        <v>313</v>
      </c>
      <c r="I115" s="128"/>
      <c r="J115" s="131"/>
      <c r="K115" s="267" t="s">
        <v>798</v>
      </c>
      <c r="N115" s="117">
        <f t="shared" si="26"/>
        <v>0</v>
      </c>
      <c r="O115" s="275">
        <v>1</v>
      </c>
      <c r="P115" s="265">
        <f t="shared" ref="P115:P126" si="28">IF(AND($E$2&gt;=C115,$E$2&lt;=D115),1,0)</f>
        <v>0</v>
      </c>
      <c r="Q115" s="275">
        <v>1</v>
      </c>
      <c r="R115" s="275">
        <v>1</v>
      </c>
      <c r="S115" s="275">
        <v>1</v>
      </c>
      <c r="T115" s="275">
        <v>1</v>
      </c>
      <c r="U115" s="128"/>
      <c r="V115" s="131"/>
      <c r="W115" s="280" t="str">
        <f t="shared" ref="W115:W126" si="29">IF(Y115&lt;&gt;0,"Y"," ")</f>
        <v xml:space="preserve"> </v>
      </c>
      <c r="X115" s="280" t="s">
        <v>313</v>
      </c>
      <c r="Y115" s="117">
        <f t="shared" si="27"/>
        <v>0</v>
      </c>
      <c r="AF115" s="128"/>
      <c r="AJ115" s="131"/>
    </row>
    <row r="116" spans="1:36" x14ac:dyDescent="0.2">
      <c r="A116" s="278" t="s">
        <v>542</v>
      </c>
      <c r="B116" s="265">
        <v>0</v>
      </c>
      <c r="C116" s="265">
        <v>0</v>
      </c>
      <c r="D116" s="265">
        <v>500</v>
      </c>
      <c r="E116" s="117" t="s">
        <v>715</v>
      </c>
      <c r="F116" s="265" t="s">
        <v>313</v>
      </c>
      <c r="G116" s="265" t="s">
        <v>313</v>
      </c>
      <c r="H116" s="265" t="s">
        <v>313</v>
      </c>
      <c r="I116" s="128"/>
      <c r="J116" s="131"/>
      <c r="K116" s="267" t="s">
        <v>1090</v>
      </c>
      <c r="N116" s="117">
        <f t="shared" si="26"/>
        <v>0</v>
      </c>
      <c r="O116" s="275">
        <v>1</v>
      </c>
      <c r="P116" s="265">
        <f t="shared" si="28"/>
        <v>0</v>
      </c>
      <c r="Q116" s="275">
        <v>1</v>
      </c>
      <c r="R116" s="275">
        <v>1</v>
      </c>
      <c r="S116" s="275">
        <v>1</v>
      </c>
      <c r="T116" s="275">
        <v>1</v>
      </c>
      <c r="U116" s="128"/>
      <c r="V116" s="131"/>
      <c r="W116" s="280" t="str">
        <f t="shared" si="29"/>
        <v xml:space="preserve"> </v>
      </c>
      <c r="X116" s="280" t="s">
        <v>313</v>
      </c>
      <c r="Y116" s="117">
        <f t="shared" si="27"/>
        <v>0</v>
      </c>
      <c r="AF116" s="128"/>
      <c r="AJ116" s="131"/>
    </row>
    <row r="117" spans="1:36" x14ac:dyDescent="0.2">
      <c r="A117" s="278" t="s">
        <v>656</v>
      </c>
      <c r="B117" s="265">
        <v>0</v>
      </c>
      <c r="C117" s="265">
        <v>0</v>
      </c>
      <c r="D117" s="265">
        <v>800</v>
      </c>
      <c r="E117" s="117" t="s">
        <v>715</v>
      </c>
      <c r="F117" s="265" t="s">
        <v>313</v>
      </c>
      <c r="G117" s="265" t="s">
        <v>313</v>
      </c>
      <c r="H117" s="265" t="s">
        <v>313</v>
      </c>
      <c r="I117" s="128"/>
      <c r="J117" s="131"/>
      <c r="K117" s="279" t="s">
        <v>1091</v>
      </c>
      <c r="N117" s="117">
        <f t="shared" si="26"/>
        <v>0</v>
      </c>
      <c r="O117" s="275">
        <v>1</v>
      </c>
      <c r="P117" s="265">
        <f t="shared" si="28"/>
        <v>1</v>
      </c>
      <c r="Q117" s="275">
        <v>1</v>
      </c>
      <c r="R117" s="275">
        <v>1</v>
      </c>
      <c r="S117" s="275">
        <v>1</v>
      </c>
      <c r="T117" s="275">
        <v>1</v>
      </c>
      <c r="U117" s="128"/>
      <c r="V117" s="131"/>
      <c r="W117" s="280" t="str">
        <f t="shared" si="29"/>
        <v xml:space="preserve"> </v>
      </c>
      <c r="X117" s="280" t="s">
        <v>313</v>
      </c>
      <c r="Y117" s="117">
        <f t="shared" si="27"/>
        <v>0</v>
      </c>
      <c r="AF117" s="128"/>
      <c r="AJ117" s="131"/>
    </row>
    <row r="118" spans="1:36" x14ac:dyDescent="0.2">
      <c r="A118" s="278" t="s">
        <v>710</v>
      </c>
      <c r="B118" s="265">
        <v>0</v>
      </c>
      <c r="C118" s="265">
        <v>0</v>
      </c>
      <c r="D118" s="265">
        <v>300</v>
      </c>
      <c r="E118" s="117" t="s">
        <v>715</v>
      </c>
      <c r="F118" s="265" t="s">
        <v>313</v>
      </c>
      <c r="G118" s="265" t="s">
        <v>313</v>
      </c>
      <c r="H118" s="265" t="s">
        <v>313</v>
      </c>
      <c r="I118" s="128"/>
      <c r="J118" s="131"/>
      <c r="K118" s="279" t="s">
        <v>1092</v>
      </c>
      <c r="N118" s="117">
        <f t="shared" si="26"/>
        <v>0</v>
      </c>
      <c r="O118" s="275">
        <v>1</v>
      </c>
      <c r="P118" s="265">
        <f t="shared" si="28"/>
        <v>0</v>
      </c>
      <c r="Q118" s="275">
        <v>1</v>
      </c>
      <c r="R118" s="275">
        <v>1</v>
      </c>
      <c r="S118" s="275">
        <v>1</v>
      </c>
      <c r="T118" s="275">
        <v>1</v>
      </c>
      <c r="U118" s="128"/>
      <c r="V118" s="131"/>
      <c r="W118" s="280" t="str">
        <f t="shared" si="29"/>
        <v xml:space="preserve"> </v>
      </c>
      <c r="X118" s="280" t="s">
        <v>313</v>
      </c>
      <c r="Y118" s="117">
        <f t="shared" si="27"/>
        <v>0</v>
      </c>
      <c r="AF118" s="128"/>
      <c r="AJ118" s="131"/>
    </row>
    <row r="119" spans="1:36" x14ac:dyDescent="0.2">
      <c r="A119" s="278" t="s">
        <v>711</v>
      </c>
      <c r="B119" s="265">
        <v>1</v>
      </c>
      <c r="C119" s="265">
        <v>0</v>
      </c>
      <c r="D119" s="265">
        <v>50</v>
      </c>
      <c r="E119" s="117" t="s">
        <v>715</v>
      </c>
      <c r="F119" s="265" t="s">
        <v>313</v>
      </c>
      <c r="G119" s="265" t="s">
        <v>313</v>
      </c>
      <c r="H119" s="265" t="s">
        <v>313</v>
      </c>
      <c r="I119" s="128"/>
      <c r="J119" s="131"/>
      <c r="K119" s="267" t="s">
        <v>1000</v>
      </c>
      <c r="N119" s="117">
        <f t="shared" si="26"/>
        <v>0</v>
      </c>
      <c r="O119" s="275">
        <v>1</v>
      </c>
      <c r="P119" s="265">
        <f t="shared" si="28"/>
        <v>0</v>
      </c>
      <c r="Q119" s="275">
        <v>1</v>
      </c>
      <c r="R119" s="275">
        <v>1</v>
      </c>
      <c r="S119" s="275">
        <v>1</v>
      </c>
      <c r="T119" s="275">
        <v>1</v>
      </c>
      <c r="U119" s="128"/>
      <c r="V119" s="131"/>
      <c r="W119" s="280" t="str">
        <f t="shared" si="29"/>
        <v xml:space="preserve"> </v>
      </c>
      <c r="X119" s="280" t="s">
        <v>715</v>
      </c>
      <c r="Y119" s="117">
        <f t="shared" si="27"/>
        <v>0</v>
      </c>
      <c r="AF119" s="128"/>
      <c r="AJ119" s="131"/>
    </row>
    <row r="120" spans="1:36" x14ac:dyDescent="0.2">
      <c r="A120" s="278" t="s">
        <v>711</v>
      </c>
      <c r="B120" s="265">
        <v>1</v>
      </c>
      <c r="C120" s="265">
        <v>100</v>
      </c>
      <c r="D120" s="265">
        <v>800</v>
      </c>
      <c r="E120" s="117" t="s">
        <v>715</v>
      </c>
      <c r="F120" s="265" t="s">
        <v>313</v>
      </c>
      <c r="G120" s="265" t="s">
        <v>313</v>
      </c>
      <c r="H120" s="265" t="s">
        <v>313</v>
      </c>
      <c r="I120" s="128"/>
      <c r="J120" s="131"/>
      <c r="K120" s="267" t="s">
        <v>1079</v>
      </c>
      <c r="N120" s="117">
        <f t="shared" si="26"/>
        <v>0</v>
      </c>
      <c r="O120" s="275">
        <v>1</v>
      </c>
      <c r="P120" s="265">
        <f t="shared" si="28"/>
        <v>1</v>
      </c>
      <c r="Q120" s="275">
        <v>1</v>
      </c>
      <c r="R120" s="275">
        <v>1</v>
      </c>
      <c r="S120" s="275">
        <v>1</v>
      </c>
      <c r="T120" s="275">
        <v>1</v>
      </c>
      <c r="U120" s="128"/>
      <c r="V120" s="131"/>
      <c r="W120" s="280" t="str">
        <f t="shared" si="29"/>
        <v xml:space="preserve"> </v>
      </c>
      <c r="X120" s="280" t="s">
        <v>313</v>
      </c>
      <c r="Y120" s="117">
        <f t="shared" si="27"/>
        <v>0</v>
      </c>
      <c r="AF120" s="128"/>
      <c r="AJ120" s="131"/>
    </row>
    <row r="121" spans="1:36" x14ac:dyDescent="0.2">
      <c r="A121" s="278" t="s">
        <v>711</v>
      </c>
      <c r="B121" s="265">
        <v>1</v>
      </c>
      <c r="C121" s="265">
        <v>0</v>
      </c>
      <c r="D121" s="265">
        <v>50</v>
      </c>
      <c r="E121" s="117" t="s">
        <v>313</v>
      </c>
      <c r="F121" s="265" t="s">
        <v>715</v>
      </c>
      <c r="G121" s="265" t="s">
        <v>313</v>
      </c>
      <c r="H121" s="265" t="s">
        <v>313</v>
      </c>
      <c r="I121" s="128"/>
      <c r="J121" s="131"/>
      <c r="K121" s="267" t="s">
        <v>1001</v>
      </c>
      <c r="N121" s="117">
        <f t="shared" si="26"/>
        <v>0</v>
      </c>
      <c r="O121" s="275">
        <v>1</v>
      </c>
      <c r="P121" s="265">
        <f t="shared" si="28"/>
        <v>0</v>
      </c>
      <c r="Q121" s="275">
        <v>1</v>
      </c>
      <c r="R121" s="275">
        <v>0</v>
      </c>
      <c r="S121" s="275">
        <v>1</v>
      </c>
      <c r="T121" s="275">
        <v>1</v>
      </c>
      <c r="U121" s="128"/>
      <c r="V121" s="131"/>
      <c r="W121" s="280" t="str">
        <f t="shared" si="29"/>
        <v xml:space="preserve"> </v>
      </c>
      <c r="X121" s="280" t="s">
        <v>715</v>
      </c>
      <c r="Y121" s="117">
        <f t="shared" si="27"/>
        <v>0</v>
      </c>
      <c r="AF121" s="128"/>
      <c r="AJ121" s="131"/>
    </row>
    <row r="122" spans="1:36" x14ac:dyDescent="0.2">
      <c r="A122" s="278" t="s">
        <v>711</v>
      </c>
      <c r="B122" s="265">
        <v>1</v>
      </c>
      <c r="C122" s="265">
        <v>100</v>
      </c>
      <c r="D122" s="265">
        <v>800</v>
      </c>
      <c r="E122" s="117" t="s">
        <v>313</v>
      </c>
      <c r="F122" s="265" t="s">
        <v>715</v>
      </c>
      <c r="G122" s="265" t="s">
        <v>313</v>
      </c>
      <c r="H122" s="265" t="s">
        <v>313</v>
      </c>
      <c r="I122" s="128"/>
      <c r="J122" s="131"/>
      <c r="K122" s="267" t="s">
        <v>1080</v>
      </c>
      <c r="N122" s="117">
        <f t="shared" si="26"/>
        <v>0</v>
      </c>
      <c r="O122" s="275">
        <v>1</v>
      </c>
      <c r="P122" s="265">
        <f t="shared" si="28"/>
        <v>1</v>
      </c>
      <c r="Q122" s="275">
        <v>1</v>
      </c>
      <c r="R122" s="275">
        <v>0</v>
      </c>
      <c r="S122" s="275">
        <v>1</v>
      </c>
      <c r="T122" s="275">
        <v>1</v>
      </c>
      <c r="U122" s="128"/>
      <c r="V122" s="131"/>
      <c r="W122" s="280" t="str">
        <f t="shared" si="29"/>
        <v xml:space="preserve"> </v>
      </c>
      <c r="X122" s="280" t="s">
        <v>313</v>
      </c>
      <c r="Y122" s="117">
        <f t="shared" si="27"/>
        <v>0</v>
      </c>
      <c r="AF122" s="128"/>
      <c r="AJ122" s="131"/>
    </row>
    <row r="123" spans="1:36" x14ac:dyDescent="0.2">
      <c r="A123" s="278" t="s">
        <v>711</v>
      </c>
      <c r="B123" s="265">
        <v>2</v>
      </c>
      <c r="C123" s="265">
        <v>0</v>
      </c>
      <c r="D123" s="265">
        <v>50</v>
      </c>
      <c r="E123" s="117" t="s">
        <v>715</v>
      </c>
      <c r="F123" s="265" t="s">
        <v>313</v>
      </c>
      <c r="G123" s="265" t="s">
        <v>313</v>
      </c>
      <c r="H123" s="265" t="s">
        <v>313</v>
      </c>
      <c r="I123" s="128"/>
      <c r="J123" s="131"/>
      <c r="K123" s="267" t="s">
        <v>1002</v>
      </c>
      <c r="N123" s="117">
        <f t="shared" si="26"/>
        <v>0</v>
      </c>
      <c r="O123" s="275">
        <v>1</v>
      </c>
      <c r="P123" s="265">
        <f t="shared" si="28"/>
        <v>0</v>
      </c>
      <c r="Q123" s="275">
        <v>1</v>
      </c>
      <c r="R123" s="275">
        <v>1</v>
      </c>
      <c r="S123" s="275">
        <v>1</v>
      </c>
      <c r="T123" s="275">
        <v>1</v>
      </c>
      <c r="U123" s="128"/>
      <c r="V123" s="131"/>
      <c r="W123" s="280" t="str">
        <f t="shared" si="29"/>
        <v xml:space="preserve"> </v>
      </c>
      <c r="X123" s="280" t="s">
        <v>715</v>
      </c>
      <c r="Y123" s="117">
        <f t="shared" si="27"/>
        <v>0</v>
      </c>
      <c r="AF123" s="128"/>
      <c r="AJ123" s="131"/>
    </row>
    <row r="124" spans="1:36" x14ac:dyDescent="0.2">
      <c r="A124" s="278" t="s">
        <v>711</v>
      </c>
      <c r="B124" s="265">
        <v>2</v>
      </c>
      <c r="C124" s="265">
        <v>100</v>
      </c>
      <c r="D124" s="265">
        <v>800</v>
      </c>
      <c r="E124" s="117" t="s">
        <v>715</v>
      </c>
      <c r="F124" s="265" t="s">
        <v>313</v>
      </c>
      <c r="G124" s="265" t="s">
        <v>313</v>
      </c>
      <c r="H124" s="265" t="s">
        <v>313</v>
      </c>
      <c r="I124" s="128"/>
      <c r="J124" s="131"/>
      <c r="K124" s="267" t="s">
        <v>1003</v>
      </c>
      <c r="N124" s="117">
        <f t="shared" si="26"/>
        <v>0</v>
      </c>
      <c r="O124" s="275">
        <v>1</v>
      </c>
      <c r="P124" s="265">
        <f t="shared" si="28"/>
        <v>1</v>
      </c>
      <c r="Q124" s="275">
        <v>1</v>
      </c>
      <c r="R124" s="275">
        <v>1</v>
      </c>
      <c r="S124" s="275">
        <v>1</v>
      </c>
      <c r="T124" s="275">
        <v>1</v>
      </c>
      <c r="U124" s="128"/>
      <c r="V124" s="131"/>
      <c r="W124" s="280" t="str">
        <f t="shared" si="29"/>
        <v xml:space="preserve"> </v>
      </c>
      <c r="X124" s="280" t="s">
        <v>313</v>
      </c>
      <c r="Y124" s="117">
        <f t="shared" si="27"/>
        <v>0</v>
      </c>
      <c r="AF124" s="128"/>
      <c r="AJ124" s="131"/>
    </row>
    <row r="125" spans="1:36" x14ac:dyDescent="0.2">
      <c r="A125" s="278" t="s">
        <v>711</v>
      </c>
      <c r="B125" s="265">
        <v>2</v>
      </c>
      <c r="C125" s="265">
        <v>0</v>
      </c>
      <c r="D125" s="265">
        <v>50</v>
      </c>
      <c r="E125" s="117" t="s">
        <v>313</v>
      </c>
      <c r="F125" s="265" t="s">
        <v>715</v>
      </c>
      <c r="G125" s="265" t="s">
        <v>313</v>
      </c>
      <c r="H125" s="265" t="s">
        <v>313</v>
      </c>
      <c r="I125" s="128"/>
      <c r="J125" s="131"/>
      <c r="K125" s="267" t="s">
        <v>1076</v>
      </c>
      <c r="N125" s="117">
        <f t="shared" si="26"/>
        <v>0</v>
      </c>
      <c r="O125" s="275">
        <v>1</v>
      </c>
      <c r="P125" s="265">
        <f t="shared" si="28"/>
        <v>0</v>
      </c>
      <c r="Q125" s="275">
        <v>1</v>
      </c>
      <c r="R125" s="275">
        <v>0</v>
      </c>
      <c r="S125" s="275">
        <v>1</v>
      </c>
      <c r="T125" s="275">
        <v>1</v>
      </c>
      <c r="U125" s="128"/>
      <c r="V125" s="131"/>
      <c r="W125" s="280" t="str">
        <f t="shared" si="29"/>
        <v xml:space="preserve"> </v>
      </c>
      <c r="X125" s="280" t="s">
        <v>715</v>
      </c>
      <c r="Y125" s="117">
        <f t="shared" si="27"/>
        <v>0</v>
      </c>
      <c r="AF125" s="128"/>
      <c r="AJ125" s="131"/>
    </row>
    <row r="126" spans="1:36" x14ac:dyDescent="0.2">
      <c r="A126" s="278" t="s">
        <v>711</v>
      </c>
      <c r="B126" s="265">
        <v>2</v>
      </c>
      <c r="C126" s="265">
        <v>100</v>
      </c>
      <c r="D126" s="265">
        <v>800</v>
      </c>
      <c r="E126" s="117" t="s">
        <v>313</v>
      </c>
      <c r="F126" s="265" t="s">
        <v>715</v>
      </c>
      <c r="G126" s="265" t="s">
        <v>313</v>
      </c>
      <c r="H126" s="265" t="s">
        <v>313</v>
      </c>
      <c r="I126" s="235"/>
      <c r="J126" s="286"/>
      <c r="K126" s="267" t="s">
        <v>1081</v>
      </c>
      <c r="N126" s="117">
        <f t="shared" si="26"/>
        <v>0</v>
      </c>
      <c r="O126" s="275">
        <v>1</v>
      </c>
      <c r="P126" s="265">
        <f t="shared" si="28"/>
        <v>1</v>
      </c>
      <c r="Q126" s="275">
        <v>1</v>
      </c>
      <c r="R126" s="275">
        <v>0</v>
      </c>
      <c r="S126" s="275">
        <v>1</v>
      </c>
      <c r="T126" s="275">
        <v>1</v>
      </c>
      <c r="U126" s="235"/>
      <c r="V126" s="286"/>
      <c r="W126" s="280" t="str">
        <f t="shared" si="29"/>
        <v xml:space="preserve"> </v>
      </c>
      <c r="X126" s="280" t="s">
        <v>313</v>
      </c>
      <c r="Y126" s="117">
        <f t="shared" si="27"/>
        <v>0</v>
      </c>
      <c r="AF126" s="128"/>
      <c r="AJ126" s="131"/>
    </row>
    <row r="127" spans="1:36" x14ac:dyDescent="0.2">
      <c r="AF127" s="128"/>
      <c r="AJ127" s="131"/>
    </row>
    <row r="128" spans="1:36" x14ac:dyDescent="0.2">
      <c r="AF128" s="128"/>
      <c r="AJ128" s="131"/>
    </row>
    <row r="129" spans="1:36" x14ac:dyDescent="0.2">
      <c r="A129" s="1024" t="s">
        <v>1110</v>
      </c>
      <c r="B129" s="1025"/>
      <c r="C129" s="1025"/>
      <c r="D129" s="1025"/>
      <c r="E129" s="1026"/>
      <c r="AF129" s="128"/>
      <c r="AJ129" s="131"/>
    </row>
    <row r="130" spans="1:36" x14ac:dyDescent="0.2">
      <c r="B130" s="1023" t="s">
        <v>948</v>
      </c>
      <c r="C130" s="1023"/>
      <c r="D130" s="1023" t="s">
        <v>1066</v>
      </c>
      <c r="E130" s="1023"/>
      <c r="AF130" s="1032" t="s">
        <v>1093</v>
      </c>
      <c r="AG130" s="1032"/>
      <c r="AJ130" s="131"/>
    </row>
    <row r="131" spans="1:36" x14ac:dyDescent="0.2">
      <c r="A131" s="268" t="s">
        <v>955</v>
      </c>
      <c r="B131" s="268" t="s">
        <v>964</v>
      </c>
      <c r="C131" s="268" t="s">
        <v>965</v>
      </c>
      <c r="D131" s="268" t="s">
        <v>964</v>
      </c>
      <c r="E131" s="268" t="s">
        <v>965</v>
      </c>
      <c r="N131" s="268" t="s">
        <v>955</v>
      </c>
      <c r="O131" s="269" t="s">
        <v>948</v>
      </c>
      <c r="P131" s="268" t="s">
        <v>1066</v>
      </c>
      <c r="W131" s="280" t="s">
        <v>1078</v>
      </c>
      <c r="X131" s="280" t="s">
        <v>1077</v>
      </c>
      <c r="Y131" s="267" t="s">
        <v>951</v>
      </c>
      <c r="AC131" s="288" t="s">
        <v>951</v>
      </c>
      <c r="AD131" s="93" t="str">
        <f>IF(P1Q1="Center",IF(VLOOKUP("Y",W132:Y141,2,FALSE)="Y",VLOOKUP("Y",W132:Y141,3,FALSE),IF(LEN(P0Q2=3),VLOOKUP("Y",W132:Y141,3,FALSE)&amp;".0"&amp;+P0Q2,VLOOKUP("Y",W132:Y141,3,FALSE)&amp;".00"&amp;+P0Q2))," ")</f>
        <v xml:space="preserve"> </v>
      </c>
      <c r="AF131" s="272" t="s">
        <v>717</v>
      </c>
      <c r="AG131" s="272" t="s">
        <v>1094</v>
      </c>
      <c r="AJ131" s="131"/>
    </row>
    <row r="132" spans="1:36" x14ac:dyDescent="0.2">
      <c r="A132" s="278" t="s">
        <v>541</v>
      </c>
      <c r="B132" s="265">
        <v>0</v>
      </c>
      <c r="C132" s="265">
        <v>300</v>
      </c>
      <c r="D132" s="117">
        <v>0</v>
      </c>
      <c r="E132" s="117">
        <f>IF(P1Q1="Head",2500,5000)</f>
        <v>2500</v>
      </c>
      <c r="F132" s="282" t="s">
        <v>2311</v>
      </c>
      <c r="G132" s="283"/>
      <c r="H132" s="283"/>
      <c r="I132" s="283"/>
      <c r="J132" s="284"/>
      <c r="K132" s="610" t="s">
        <v>1068</v>
      </c>
      <c r="N132" s="117">
        <f t="shared" ref="N132:N141" si="30">IF(A132=$N$6,1,0)</f>
        <v>0</v>
      </c>
      <c r="O132" s="265">
        <f>IF(AND($E$2&gt;=B132,$E$2&lt;=C132),1,0)</f>
        <v>0</v>
      </c>
      <c r="P132" s="265">
        <f t="shared" ref="P132:P141" si="31">IF(AND($E$3&gt;D132,$E$3&lt;=E132),1,0)</f>
        <v>0</v>
      </c>
      <c r="Q132" s="282"/>
      <c r="R132" s="283"/>
      <c r="S132" s="283"/>
      <c r="T132" s="283"/>
      <c r="U132" s="283"/>
      <c r="V132" s="284"/>
      <c r="W132" s="280" t="str">
        <f>IF(Y132&lt;&gt;0,"Y"," ")</f>
        <v xml:space="preserve"> </v>
      </c>
      <c r="X132" s="280" t="s">
        <v>715</v>
      </c>
      <c r="Y132" s="117">
        <f t="shared" ref="Y132:Y141" si="32">IF(MIN(N132:V132)=1,+K132,)</f>
        <v>0</v>
      </c>
      <c r="AF132" s="117">
        <v>60</v>
      </c>
      <c r="AG132" s="117">
        <v>45</v>
      </c>
      <c r="AI132" s="50">
        <f>IF($N$6&lt;&gt;0,VLOOKUP("y",W132:AG141,10,FALSE),0)</f>
        <v>0</v>
      </c>
      <c r="AJ132" s="50">
        <f>IF($N$6&lt;&gt;0,VLOOKUP("y",W132:AG141,11,FALSE),0)</f>
        <v>0</v>
      </c>
    </row>
    <row r="133" spans="1:36" x14ac:dyDescent="0.2">
      <c r="A133" s="278" t="s">
        <v>541</v>
      </c>
      <c r="B133" s="265">
        <v>400</v>
      </c>
      <c r="C133" s="265">
        <v>800</v>
      </c>
      <c r="D133" s="117">
        <v>0</v>
      </c>
      <c r="E133" s="117">
        <f>IF(P1Q1="Head",2500,5000)</f>
        <v>2500</v>
      </c>
      <c r="F133" s="128" t="s">
        <v>2311</v>
      </c>
      <c r="J133" s="131"/>
      <c r="K133" s="267" t="s">
        <v>1068</v>
      </c>
      <c r="N133" s="117">
        <f t="shared" si="30"/>
        <v>0</v>
      </c>
      <c r="O133" s="265">
        <f t="shared" ref="O133:O141" si="33">IF(AND($E$2&gt;=B133,$E$2&lt;=C133),1,0)</f>
        <v>1</v>
      </c>
      <c r="P133" s="265">
        <f t="shared" si="31"/>
        <v>0</v>
      </c>
      <c r="Q133" s="128"/>
      <c r="V133" s="131"/>
      <c r="W133" s="280" t="str">
        <f t="shared" ref="W133:W141" si="34">IF(Y133&lt;&gt;0,"Y"," ")</f>
        <v xml:space="preserve"> </v>
      </c>
      <c r="X133" s="280" t="s">
        <v>715</v>
      </c>
      <c r="Y133" s="117">
        <f t="shared" si="32"/>
        <v>0</v>
      </c>
      <c r="AF133" s="117">
        <v>60</v>
      </c>
      <c r="AG133" s="117">
        <v>45</v>
      </c>
      <c r="AJ133" s="131"/>
    </row>
    <row r="134" spans="1:36" x14ac:dyDescent="0.2">
      <c r="A134" s="278" t="s">
        <v>541</v>
      </c>
      <c r="B134" s="265">
        <v>0</v>
      </c>
      <c r="C134" s="265">
        <v>800</v>
      </c>
      <c r="D134" s="117">
        <f>IF(P1Q1="Head",2501,5001)</f>
        <v>2501</v>
      </c>
      <c r="E134" s="117">
        <v>10000</v>
      </c>
      <c r="F134" s="128" t="s">
        <v>2311</v>
      </c>
      <c r="J134" s="131"/>
      <c r="K134" s="267" t="s">
        <v>1069</v>
      </c>
      <c r="N134" s="117">
        <f t="shared" si="30"/>
        <v>0</v>
      </c>
      <c r="O134" s="265">
        <f t="shared" si="33"/>
        <v>1</v>
      </c>
      <c r="P134" s="265">
        <f t="shared" si="31"/>
        <v>1</v>
      </c>
      <c r="Q134" s="128"/>
      <c r="V134" s="131"/>
      <c r="W134" s="280" t="str">
        <f t="shared" si="34"/>
        <v xml:space="preserve"> </v>
      </c>
      <c r="X134" s="280" t="s">
        <v>715</v>
      </c>
      <c r="Y134" s="117">
        <f t="shared" si="32"/>
        <v>0</v>
      </c>
      <c r="AF134" s="117">
        <v>60</v>
      </c>
      <c r="AG134" s="117">
        <v>45</v>
      </c>
      <c r="AJ134" s="131"/>
    </row>
    <row r="135" spans="1:36" x14ac:dyDescent="0.2">
      <c r="A135" s="278" t="s">
        <v>695</v>
      </c>
      <c r="B135" s="265">
        <v>0</v>
      </c>
      <c r="C135" s="265">
        <v>500</v>
      </c>
      <c r="D135" s="117">
        <v>0</v>
      </c>
      <c r="E135" s="117">
        <v>10000</v>
      </c>
      <c r="F135" s="128"/>
      <c r="J135" s="131"/>
      <c r="K135" s="267" t="s">
        <v>1071</v>
      </c>
      <c r="N135" s="117">
        <f t="shared" si="30"/>
        <v>0</v>
      </c>
      <c r="O135" s="265">
        <f t="shared" si="33"/>
        <v>0</v>
      </c>
      <c r="P135" s="265">
        <f t="shared" si="31"/>
        <v>1</v>
      </c>
      <c r="Q135" s="128"/>
      <c r="V135" s="131"/>
      <c r="W135" s="280" t="str">
        <f t="shared" si="34"/>
        <v xml:space="preserve"> </v>
      </c>
      <c r="X135" s="280" t="s">
        <v>715</v>
      </c>
      <c r="Y135" s="117">
        <f t="shared" si="32"/>
        <v>0</v>
      </c>
      <c r="AF135" s="117">
        <v>60</v>
      </c>
      <c r="AG135" s="117">
        <v>45</v>
      </c>
      <c r="AJ135" s="131"/>
    </row>
    <row r="136" spans="1:36" x14ac:dyDescent="0.2">
      <c r="A136" s="278" t="s">
        <v>542</v>
      </c>
      <c r="B136" s="265">
        <v>0</v>
      </c>
      <c r="C136" s="265">
        <v>500</v>
      </c>
      <c r="D136" s="117">
        <v>0</v>
      </c>
      <c r="E136" s="117">
        <v>10000</v>
      </c>
      <c r="F136" s="128"/>
      <c r="J136" s="131"/>
      <c r="K136" s="267" t="s">
        <v>1070</v>
      </c>
      <c r="N136" s="117">
        <f t="shared" si="30"/>
        <v>0</v>
      </c>
      <c r="O136" s="265">
        <f t="shared" si="33"/>
        <v>0</v>
      </c>
      <c r="P136" s="265">
        <f t="shared" si="31"/>
        <v>1</v>
      </c>
      <c r="Q136" s="128"/>
      <c r="V136" s="131"/>
      <c r="W136" s="280" t="str">
        <f t="shared" si="34"/>
        <v xml:space="preserve"> </v>
      </c>
      <c r="X136" s="280" t="s">
        <v>715</v>
      </c>
      <c r="Y136" s="117">
        <f t="shared" si="32"/>
        <v>0</v>
      </c>
      <c r="AF136" s="117">
        <v>65</v>
      </c>
      <c r="AG136" s="117">
        <v>45</v>
      </c>
      <c r="AJ136" s="131"/>
    </row>
    <row r="137" spans="1:36" x14ac:dyDescent="0.2">
      <c r="A137" s="278" t="s">
        <v>656</v>
      </c>
      <c r="B137" s="265">
        <v>0</v>
      </c>
      <c r="C137" s="265">
        <v>800</v>
      </c>
      <c r="D137" s="117">
        <v>0</v>
      </c>
      <c r="E137" s="117">
        <f>IF(P1Q1="Head",2500,5000)</f>
        <v>2500</v>
      </c>
      <c r="F137" s="128" t="s">
        <v>2311</v>
      </c>
      <c r="J137" s="131"/>
      <c r="K137" s="267" t="s">
        <v>1072</v>
      </c>
      <c r="N137" s="117">
        <f t="shared" si="30"/>
        <v>0</v>
      </c>
      <c r="O137" s="265">
        <f t="shared" si="33"/>
        <v>1</v>
      </c>
      <c r="P137" s="265">
        <f t="shared" si="31"/>
        <v>0</v>
      </c>
      <c r="Q137" s="128"/>
      <c r="V137" s="131"/>
      <c r="W137" s="280" t="str">
        <f t="shared" si="34"/>
        <v xml:space="preserve"> </v>
      </c>
      <c r="X137" s="280" t="s">
        <v>715</v>
      </c>
      <c r="Y137" s="117">
        <f t="shared" si="32"/>
        <v>0</v>
      </c>
      <c r="AF137" s="117">
        <v>65</v>
      </c>
      <c r="AG137" s="117">
        <v>20</v>
      </c>
      <c r="AJ137" s="131"/>
    </row>
    <row r="138" spans="1:36" x14ac:dyDescent="0.2">
      <c r="A138" s="278" t="s">
        <v>656</v>
      </c>
      <c r="B138" s="265">
        <v>0</v>
      </c>
      <c r="C138" s="265">
        <v>800</v>
      </c>
      <c r="D138" s="117">
        <f>IF(P1Q1="Head",2501,5001)</f>
        <v>2501</v>
      </c>
      <c r="E138" s="117">
        <v>10000</v>
      </c>
      <c r="F138" s="128" t="s">
        <v>2311</v>
      </c>
      <c r="J138" s="131"/>
      <c r="K138" s="267" t="s">
        <v>1073</v>
      </c>
      <c r="N138" s="117">
        <f t="shared" si="30"/>
        <v>0</v>
      </c>
      <c r="O138" s="265">
        <f t="shared" si="33"/>
        <v>1</v>
      </c>
      <c r="P138" s="265">
        <f t="shared" si="31"/>
        <v>1</v>
      </c>
      <c r="Q138" s="128"/>
      <c r="V138" s="131"/>
      <c r="W138" s="280" t="str">
        <f t="shared" si="34"/>
        <v xml:space="preserve"> </v>
      </c>
      <c r="X138" s="280" t="s">
        <v>715</v>
      </c>
      <c r="Y138" s="117">
        <f t="shared" si="32"/>
        <v>0</v>
      </c>
      <c r="AF138" s="117">
        <v>65</v>
      </c>
      <c r="AG138" s="117">
        <v>20</v>
      </c>
      <c r="AJ138" s="131"/>
    </row>
    <row r="139" spans="1:36" x14ac:dyDescent="0.2">
      <c r="A139" s="278" t="s">
        <v>710</v>
      </c>
      <c r="B139" s="265">
        <v>0</v>
      </c>
      <c r="C139" s="265">
        <v>300</v>
      </c>
      <c r="D139" s="117">
        <v>0</v>
      </c>
      <c r="E139" s="117">
        <v>10000</v>
      </c>
      <c r="F139" s="128"/>
      <c r="J139" s="131"/>
      <c r="K139" s="267" t="s">
        <v>1074</v>
      </c>
      <c r="N139" s="117">
        <f t="shared" si="30"/>
        <v>0</v>
      </c>
      <c r="O139" s="265">
        <f t="shared" si="33"/>
        <v>0</v>
      </c>
      <c r="P139" s="265">
        <f t="shared" si="31"/>
        <v>1</v>
      </c>
      <c r="Q139" s="128"/>
      <c r="V139" s="131"/>
      <c r="W139" s="280" t="str">
        <f t="shared" si="34"/>
        <v xml:space="preserve"> </v>
      </c>
      <c r="X139" s="280" t="s">
        <v>715</v>
      </c>
      <c r="Y139" s="117">
        <f t="shared" si="32"/>
        <v>0</v>
      </c>
      <c r="AF139" s="117">
        <v>65</v>
      </c>
      <c r="AG139" s="117">
        <v>20</v>
      </c>
      <c r="AJ139" s="131"/>
    </row>
    <row r="140" spans="1:36" x14ac:dyDescent="0.2">
      <c r="A140" s="278" t="s">
        <v>711</v>
      </c>
      <c r="B140" s="265">
        <v>0</v>
      </c>
      <c r="C140" s="265">
        <v>800</v>
      </c>
      <c r="D140" s="117">
        <v>0</v>
      </c>
      <c r="E140" s="117">
        <f>IF(P1Q1="Head",2500,5000)</f>
        <v>2500</v>
      </c>
      <c r="F140" s="128" t="s">
        <v>2311</v>
      </c>
      <c r="J140" s="131"/>
      <c r="K140" s="267" t="s">
        <v>1065</v>
      </c>
      <c r="N140" s="117">
        <f t="shared" si="30"/>
        <v>0</v>
      </c>
      <c r="O140" s="265">
        <f t="shared" si="33"/>
        <v>1</v>
      </c>
      <c r="P140" s="265">
        <f t="shared" si="31"/>
        <v>0</v>
      </c>
      <c r="Q140" s="128"/>
      <c r="V140" s="131"/>
      <c r="W140" s="280" t="str">
        <f t="shared" si="34"/>
        <v xml:space="preserve"> </v>
      </c>
      <c r="X140" s="280" t="s">
        <v>715</v>
      </c>
      <c r="Y140" s="117">
        <f t="shared" si="32"/>
        <v>0</v>
      </c>
      <c r="AF140" s="117">
        <v>60</v>
      </c>
      <c r="AG140" s="117">
        <v>45</v>
      </c>
      <c r="AJ140" s="131"/>
    </row>
    <row r="141" spans="1:36" x14ac:dyDescent="0.2">
      <c r="A141" s="278" t="s">
        <v>711</v>
      </c>
      <c r="B141" s="265">
        <v>0</v>
      </c>
      <c r="C141" s="265">
        <v>800</v>
      </c>
      <c r="D141" s="117">
        <f>IF(P1Q1="Head",2501,5001)</f>
        <v>2501</v>
      </c>
      <c r="E141" s="117">
        <v>10000</v>
      </c>
      <c r="F141" s="128" t="s">
        <v>2311</v>
      </c>
      <c r="G141" s="285"/>
      <c r="H141" s="285"/>
      <c r="I141" s="285"/>
      <c r="J141" s="286"/>
      <c r="K141" s="267" t="s">
        <v>1075</v>
      </c>
      <c r="N141" s="117">
        <f t="shared" si="30"/>
        <v>0</v>
      </c>
      <c r="O141" s="265">
        <f t="shared" si="33"/>
        <v>1</v>
      </c>
      <c r="P141" s="265">
        <f t="shared" si="31"/>
        <v>1</v>
      </c>
      <c r="Q141" s="235"/>
      <c r="R141" s="285"/>
      <c r="S141" s="285"/>
      <c r="T141" s="285"/>
      <c r="U141" s="285"/>
      <c r="V141" s="286"/>
      <c r="W141" s="280" t="str">
        <f t="shared" si="34"/>
        <v xml:space="preserve"> </v>
      </c>
      <c r="X141" s="280" t="s">
        <v>715</v>
      </c>
      <c r="Y141" s="117">
        <f t="shared" si="32"/>
        <v>0</v>
      </c>
      <c r="AF141" s="117">
        <v>60</v>
      </c>
      <c r="AG141" s="117">
        <v>45</v>
      </c>
      <c r="AJ141" s="131"/>
    </row>
    <row r="142" spans="1:36" x14ac:dyDescent="0.2">
      <c r="AF142" s="128"/>
      <c r="AJ142" s="131"/>
    </row>
    <row r="143" spans="1:36" x14ac:dyDescent="0.2">
      <c r="AF143" s="128"/>
      <c r="AJ143" s="131"/>
    </row>
    <row r="144" spans="1:36" x14ac:dyDescent="0.2">
      <c r="A144" s="1024" t="s">
        <v>1111</v>
      </c>
      <c r="B144" s="1025"/>
      <c r="C144" s="1025"/>
      <c r="D144" s="1026"/>
      <c r="AF144" s="128"/>
      <c r="AJ144" s="131"/>
    </row>
    <row r="145" spans="1:36" x14ac:dyDescent="0.2">
      <c r="B145" s="268" t="s">
        <v>999</v>
      </c>
      <c r="C145" s="1023" t="s">
        <v>948</v>
      </c>
      <c r="D145" s="1023"/>
      <c r="N145" s="268" t="s">
        <v>708</v>
      </c>
      <c r="O145" s="268" t="s">
        <v>999</v>
      </c>
      <c r="Q145" s="927" t="s">
        <v>260</v>
      </c>
      <c r="R145" s="927"/>
      <c r="AF145" s="128"/>
      <c r="AJ145" s="131"/>
    </row>
    <row r="146" spans="1:36" x14ac:dyDescent="0.2">
      <c r="A146" s="268" t="s">
        <v>1109</v>
      </c>
      <c r="B146" s="268" t="s">
        <v>967</v>
      </c>
      <c r="C146" s="268" t="s">
        <v>964</v>
      </c>
      <c r="D146" s="268" t="s">
        <v>965</v>
      </c>
      <c r="E146" s="268" t="s">
        <v>760</v>
      </c>
      <c r="F146" s="268" t="s">
        <v>952</v>
      </c>
      <c r="G146" s="268" t="s">
        <v>991</v>
      </c>
      <c r="H146" s="268" t="s">
        <v>992</v>
      </c>
      <c r="N146" s="268" t="s">
        <v>1042</v>
      </c>
      <c r="O146" s="268" t="s">
        <v>967</v>
      </c>
      <c r="P146" s="269" t="s">
        <v>948</v>
      </c>
      <c r="Q146" s="268" t="s">
        <v>760</v>
      </c>
      <c r="R146" s="269" t="s">
        <v>952</v>
      </c>
      <c r="S146" s="269" t="s">
        <v>991</v>
      </c>
      <c r="T146" s="268" t="s">
        <v>992</v>
      </c>
      <c r="W146" s="280" t="s">
        <v>1078</v>
      </c>
      <c r="X146" s="280" t="s">
        <v>1077</v>
      </c>
      <c r="Y146" s="267" t="s">
        <v>951</v>
      </c>
      <c r="AC146" s="288" t="s">
        <v>951</v>
      </c>
      <c r="AD146" s="93" t="str">
        <f>IF(P1Q1="Center",IF(VLOOKUP("Y",W147:Y159,2,FALSE)="Y",VLOOKUP("Y",W147:Y159,3,FALSE),IF(P0Q2&gt;99,VLOOKUP("Y",W147:Y159,3,FALSE)&amp;".0"&amp;+P0Q2,VLOOKUP("Y",W147:Y159,3,FALSE)&amp;".00"&amp;+P0Q2))," ")</f>
        <v xml:space="preserve"> </v>
      </c>
      <c r="AF146" s="128"/>
      <c r="AJ146" s="131"/>
    </row>
    <row r="147" spans="1:36" x14ac:dyDescent="0.2">
      <c r="A147" s="278" t="s">
        <v>541</v>
      </c>
      <c r="B147" s="265">
        <v>0</v>
      </c>
      <c r="C147" s="265">
        <v>0</v>
      </c>
      <c r="D147" s="265">
        <v>800</v>
      </c>
      <c r="E147" s="117" t="s">
        <v>715</v>
      </c>
      <c r="F147" s="265" t="s">
        <v>313</v>
      </c>
      <c r="G147" s="265" t="s">
        <v>313</v>
      </c>
      <c r="H147" s="265" t="s">
        <v>313</v>
      </c>
      <c r="I147" s="282"/>
      <c r="J147" s="284"/>
      <c r="K147" s="267" t="s">
        <v>1089</v>
      </c>
      <c r="N147" s="117">
        <f t="shared" ref="N147:N159" si="35">IF(A147=$N$6,1,0)</f>
        <v>0</v>
      </c>
      <c r="O147" s="275">
        <v>1</v>
      </c>
      <c r="P147" s="265">
        <f>IF(AND($E$2&gt;=C147,$E$2&lt;=D147),1,0)</f>
        <v>1</v>
      </c>
      <c r="Q147" s="275">
        <v>1</v>
      </c>
      <c r="R147" s="275">
        <v>1</v>
      </c>
      <c r="S147" s="275">
        <v>1</v>
      </c>
      <c r="T147" s="275">
        <v>1</v>
      </c>
      <c r="U147" s="282"/>
      <c r="V147" s="284"/>
      <c r="W147" s="280" t="str">
        <f>IF(Y147&lt;&gt;0,"Y"," ")</f>
        <v xml:space="preserve"> </v>
      </c>
      <c r="X147" s="280" t="s">
        <v>313</v>
      </c>
      <c r="Y147" s="117">
        <f t="shared" ref="Y147:Y159" si="36">IF(MIN(N147:V147)=1,+K147,)</f>
        <v>0</v>
      </c>
      <c r="AF147" s="128"/>
      <c r="AJ147" s="131"/>
    </row>
    <row r="148" spans="1:36" x14ac:dyDescent="0.2">
      <c r="A148" s="278" t="s">
        <v>695</v>
      </c>
      <c r="B148" s="265">
        <v>0</v>
      </c>
      <c r="C148" s="265">
        <v>0</v>
      </c>
      <c r="D148" s="265">
        <v>500</v>
      </c>
      <c r="E148" s="117" t="s">
        <v>715</v>
      </c>
      <c r="F148" s="265" t="s">
        <v>313</v>
      </c>
      <c r="G148" s="265" t="s">
        <v>313</v>
      </c>
      <c r="H148" s="265" t="s">
        <v>313</v>
      </c>
      <c r="I148" s="128"/>
      <c r="J148" s="131"/>
      <c r="K148" s="267" t="s">
        <v>798</v>
      </c>
      <c r="N148" s="117">
        <f t="shared" si="35"/>
        <v>0</v>
      </c>
      <c r="O148" s="275">
        <v>1</v>
      </c>
      <c r="P148" s="265">
        <f t="shared" ref="P148:P159" si="37">IF(AND($E$2&gt;=C148,$E$2&lt;=D148),1,0)</f>
        <v>0</v>
      </c>
      <c r="Q148" s="275">
        <v>1</v>
      </c>
      <c r="R148" s="275">
        <v>1</v>
      </c>
      <c r="S148" s="275">
        <v>1</v>
      </c>
      <c r="T148" s="275">
        <v>1</v>
      </c>
      <c r="U148" s="128"/>
      <c r="V148" s="131"/>
      <c r="W148" s="280" t="str">
        <f t="shared" ref="W148:W159" si="38">IF(Y148&lt;&gt;0,"Y"," ")</f>
        <v xml:space="preserve"> </v>
      </c>
      <c r="X148" s="280" t="s">
        <v>313</v>
      </c>
      <c r="Y148" s="117">
        <f t="shared" si="36"/>
        <v>0</v>
      </c>
      <c r="AF148" s="128"/>
      <c r="AJ148" s="131"/>
    </row>
    <row r="149" spans="1:36" x14ac:dyDescent="0.2">
      <c r="A149" s="278" t="s">
        <v>542</v>
      </c>
      <c r="B149" s="265">
        <v>0</v>
      </c>
      <c r="C149" s="265">
        <v>0</v>
      </c>
      <c r="D149" s="265">
        <v>500</v>
      </c>
      <c r="E149" s="117" t="s">
        <v>715</v>
      </c>
      <c r="F149" s="265" t="s">
        <v>313</v>
      </c>
      <c r="G149" s="265" t="s">
        <v>313</v>
      </c>
      <c r="H149" s="265" t="s">
        <v>313</v>
      </c>
      <c r="I149" s="128"/>
      <c r="J149" s="131"/>
      <c r="K149" s="267" t="s">
        <v>1090</v>
      </c>
      <c r="N149" s="117">
        <f t="shared" si="35"/>
        <v>0</v>
      </c>
      <c r="O149" s="275">
        <v>1</v>
      </c>
      <c r="P149" s="265">
        <f t="shared" si="37"/>
        <v>0</v>
      </c>
      <c r="Q149" s="275">
        <v>1</v>
      </c>
      <c r="R149" s="275">
        <v>1</v>
      </c>
      <c r="S149" s="275">
        <v>1</v>
      </c>
      <c r="T149" s="275">
        <v>1</v>
      </c>
      <c r="U149" s="128"/>
      <c r="V149" s="131"/>
      <c r="W149" s="280" t="str">
        <f t="shared" si="38"/>
        <v xml:space="preserve"> </v>
      </c>
      <c r="X149" s="280" t="s">
        <v>313</v>
      </c>
      <c r="Y149" s="117">
        <f t="shared" si="36"/>
        <v>0</v>
      </c>
      <c r="AF149" s="128"/>
      <c r="AJ149" s="131"/>
    </row>
    <row r="150" spans="1:36" x14ac:dyDescent="0.2">
      <c r="A150" s="278" t="s">
        <v>656</v>
      </c>
      <c r="B150" s="265">
        <v>0</v>
      </c>
      <c r="C150" s="265">
        <v>0</v>
      </c>
      <c r="D150" s="265">
        <v>800</v>
      </c>
      <c r="E150" s="117" t="s">
        <v>715</v>
      </c>
      <c r="F150" s="265" t="s">
        <v>313</v>
      </c>
      <c r="G150" s="265" t="s">
        <v>313</v>
      </c>
      <c r="H150" s="265" t="s">
        <v>313</v>
      </c>
      <c r="I150" s="128"/>
      <c r="J150" s="131"/>
      <c r="K150" s="279" t="s">
        <v>1091</v>
      </c>
      <c r="N150" s="117">
        <f t="shared" si="35"/>
        <v>0</v>
      </c>
      <c r="O150" s="275">
        <v>1</v>
      </c>
      <c r="P150" s="265">
        <f t="shared" si="37"/>
        <v>1</v>
      </c>
      <c r="Q150" s="275">
        <v>1</v>
      </c>
      <c r="R150" s="275">
        <v>1</v>
      </c>
      <c r="S150" s="275">
        <v>1</v>
      </c>
      <c r="T150" s="275">
        <v>1</v>
      </c>
      <c r="U150" s="128"/>
      <c r="V150" s="131"/>
      <c r="W150" s="280" t="str">
        <f t="shared" si="38"/>
        <v xml:space="preserve"> </v>
      </c>
      <c r="X150" s="280" t="s">
        <v>313</v>
      </c>
      <c r="Y150" s="117">
        <f t="shared" si="36"/>
        <v>0</v>
      </c>
      <c r="AF150" s="128"/>
      <c r="AJ150" s="131"/>
    </row>
    <row r="151" spans="1:36" x14ac:dyDescent="0.2">
      <c r="A151" s="278" t="s">
        <v>710</v>
      </c>
      <c r="B151" s="265">
        <v>0</v>
      </c>
      <c r="C151" s="265">
        <v>0</v>
      </c>
      <c r="D151" s="265">
        <v>300</v>
      </c>
      <c r="E151" s="117" t="s">
        <v>715</v>
      </c>
      <c r="F151" s="265" t="s">
        <v>313</v>
      </c>
      <c r="G151" s="265" t="s">
        <v>313</v>
      </c>
      <c r="H151" s="265" t="s">
        <v>313</v>
      </c>
      <c r="I151" s="128"/>
      <c r="J151" s="131"/>
      <c r="K151" s="279" t="s">
        <v>1092</v>
      </c>
      <c r="N151" s="117">
        <f t="shared" si="35"/>
        <v>0</v>
      </c>
      <c r="O151" s="275">
        <v>1</v>
      </c>
      <c r="P151" s="265">
        <f t="shared" si="37"/>
        <v>0</v>
      </c>
      <c r="Q151" s="275">
        <v>1</v>
      </c>
      <c r="R151" s="275">
        <v>1</v>
      </c>
      <c r="S151" s="275">
        <v>1</v>
      </c>
      <c r="T151" s="275">
        <v>1</v>
      </c>
      <c r="U151" s="128"/>
      <c r="V151" s="131"/>
      <c r="W151" s="280" t="str">
        <f t="shared" si="38"/>
        <v xml:space="preserve"> </v>
      </c>
      <c r="X151" s="280" t="s">
        <v>313</v>
      </c>
      <c r="Y151" s="117">
        <f t="shared" si="36"/>
        <v>0</v>
      </c>
      <c r="AF151" s="128"/>
      <c r="AJ151" s="131"/>
    </row>
    <row r="152" spans="1:36" x14ac:dyDescent="0.2">
      <c r="A152" s="278" t="s">
        <v>711</v>
      </c>
      <c r="B152" s="265">
        <v>1</v>
      </c>
      <c r="C152" s="265">
        <v>0</v>
      </c>
      <c r="D152" s="265">
        <v>50</v>
      </c>
      <c r="E152" s="117" t="s">
        <v>715</v>
      </c>
      <c r="F152" s="265" t="s">
        <v>313</v>
      </c>
      <c r="G152" s="265" t="s">
        <v>313</v>
      </c>
      <c r="H152" s="265" t="s">
        <v>313</v>
      </c>
      <c r="I152" s="128"/>
      <c r="J152" s="131"/>
      <c r="K152" s="267" t="s">
        <v>1000</v>
      </c>
      <c r="N152" s="117">
        <f t="shared" si="35"/>
        <v>0</v>
      </c>
      <c r="O152" s="275">
        <v>1</v>
      </c>
      <c r="P152" s="265">
        <f t="shared" si="37"/>
        <v>0</v>
      </c>
      <c r="Q152" s="275">
        <v>1</v>
      </c>
      <c r="R152" s="275">
        <v>1</v>
      </c>
      <c r="S152" s="275">
        <v>1</v>
      </c>
      <c r="T152" s="275">
        <v>1</v>
      </c>
      <c r="U152" s="128"/>
      <c r="V152" s="131"/>
      <c r="W152" s="280" t="str">
        <f t="shared" si="38"/>
        <v xml:space="preserve"> </v>
      </c>
      <c r="X152" s="280" t="s">
        <v>715</v>
      </c>
      <c r="Y152" s="117">
        <f t="shared" si="36"/>
        <v>0</v>
      </c>
      <c r="AF152" s="128"/>
      <c r="AJ152" s="131"/>
    </row>
    <row r="153" spans="1:36" x14ac:dyDescent="0.2">
      <c r="A153" s="278" t="s">
        <v>711</v>
      </c>
      <c r="B153" s="265">
        <v>1</v>
      </c>
      <c r="C153" s="265">
        <v>100</v>
      </c>
      <c r="D153" s="265">
        <v>800</v>
      </c>
      <c r="E153" s="117" t="s">
        <v>715</v>
      </c>
      <c r="F153" s="265" t="s">
        <v>313</v>
      </c>
      <c r="G153" s="265" t="s">
        <v>313</v>
      </c>
      <c r="H153" s="265" t="s">
        <v>313</v>
      </c>
      <c r="I153" s="128"/>
      <c r="J153" s="131"/>
      <c r="K153" s="267" t="s">
        <v>1079</v>
      </c>
      <c r="N153" s="117">
        <f t="shared" si="35"/>
        <v>0</v>
      </c>
      <c r="O153" s="275">
        <v>1</v>
      </c>
      <c r="P153" s="265">
        <f t="shared" si="37"/>
        <v>1</v>
      </c>
      <c r="Q153" s="275">
        <v>1</v>
      </c>
      <c r="R153" s="275">
        <v>1</v>
      </c>
      <c r="S153" s="275">
        <v>1</v>
      </c>
      <c r="T153" s="275">
        <v>1</v>
      </c>
      <c r="U153" s="128"/>
      <c r="V153" s="131"/>
      <c r="W153" s="280" t="str">
        <f t="shared" si="38"/>
        <v xml:space="preserve"> </v>
      </c>
      <c r="X153" s="280" t="s">
        <v>313</v>
      </c>
      <c r="Y153" s="117">
        <f t="shared" si="36"/>
        <v>0</v>
      </c>
      <c r="AF153" s="128"/>
      <c r="AJ153" s="131"/>
    </row>
    <row r="154" spans="1:36" x14ac:dyDescent="0.2">
      <c r="A154" s="278" t="s">
        <v>711</v>
      </c>
      <c r="B154" s="265">
        <v>1</v>
      </c>
      <c r="C154" s="265">
        <v>0</v>
      </c>
      <c r="D154" s="265">
        <v>50</v>
      </c>
      <c r="E154" s="117" t="s">
        <v>313</v>
      </c>
      <c r="F154" s="265" t="s">
        <v>715</v>
      </c>
      <c r="G154" s="265" t="s">
        <v>313</v>
      </c>
      <c r="H154" s="265" t="s">
        <v>313</v>
      </c>
      <c r="I154" s="128"/>
      <c r="J154" s="131"/>
      <c r="K154" s="267" t="s">
        <v>1001</v>
      </c>
      <c r="N154" s="117">
        <f t="shared" si="35"/>
        <v>0</v>
      </c>
      <c r="O154" s="275">
        <v>1</v>
      </c>
      <c r="P154" s="265">
        <f t="shared" si="37"/>
        <v>0</v>
      </c>
      <c r="Q154" s="275">
        <v>1</v>
      </c>
      <c r="R154" s="275">
        <v>0</v>
      </c>
      <c r="S154" s="275">
        <v>1</v>
      </c>
      <c r="T154" s="275">
        <v>1</v>
      </c>
      <c r="U154" s="128"/>
      <c r="V154" s="131"/>
      <c r="W154" s="280" t="str">
        <f t="shared" si="38"/>
        <v xml:space="preserve"> </v>
      </c>
      <c r="X154" s="280" t="s">
        <v>715</v>
      </c>
      <c r="Y154" s="117">
        <f t="shared" si="36"/>
        <v>0</v>
      </c>
      <c r="AF154" s="128"/>
      <c r="AJ154" s="131"/>
    </row>
    <row r="155" spans="1:36" x14ac:dyDescent="0.2">
      <c r="A155" s="278" t="s">
        <v>711</v>
      </c>
      <c r="B155" s="265">
        <v>1</v>
      </c>
      <c r="C155" s="265">
        <v>100</v>
      </c>
      <c r="D155" s="265">
        <v>800</v>
      </c>
      <c r="E155" s="117" t="s">
        <v>313</v>
      </c>
      <c r="F155" s="265" t="s">
        <v>715</v>
      </c>
      <c r="G155" s="265" t="s">
        <v>313</v>
      </c>
      <c r="H155" s="265" t="s">
        <v>313</v>
      </c>
      <c r="I155" s="128"/>
      <c r="J155" s="131"/>
      <c r="K155" s="267" t="s">
        <v>1080</v>
      </c>
      <c r="N155" s="117">
        <f t="shared" si="35"/>
        <v>0</v>
      </c>
      <c r="O155" s="275">
        <v>1</v>
      </c>
      <c r="P155" s="265">
        <f t="shared" si="37"/>
        <v>1</v>
      </c>
      <c r="Q155" s="275">
        <v>1</v>
      </c>
      <c r="R155" s="275">
        <v>0</v>
      </c>
      <c r="S155" s="275">
        <v>1</v>
      </c>
      <c r="T155" s="275">
        <v>1</v>
      </c>
      <c r="U155" s="128"/>
      <c r="V155" s="131"/>
      <c r="W155" s="280" t="str">
        <f t="shared" si="38"/>
        <v xml:space="preserve"> </v>
      </c>
      <c r="X155" s="280" t="s">
        <v>313</v>
      </c>
      <c r="Y155" s="117">
        <f t="shared" si="36"/>
        <v>0</v>
      </c>
      <c r="AF155" s="128"/>
      <c r="AJ155" s="131"/>
    </row>
    <row r="156" spans="1:36" x14ac:dyDescent="0.2">
      <c r="A156" s="278" t="s">
        <v>711</v>
      </c>
      <c r="B156" s="265">
        <v>2</v>
      </c>
      <c r="C156" s="265">
        <v>0</v>
      </c>
      <c r="D156" s="265">
        <v>50</v>
      </c>
      <c r="E156" s="117" t="s">
        <v>715</v>
      </c>
      <c r="F156" s="265" t="s">
        <v>313</v>
      </c>
      <c r="G156" s="265" t="s">
        <v>313</v>
      </c>
      <c r="H156" s="265" t="s">
        <v>313</v>
      </c>
      <c r="I156" s="128"/>
      <c r="J156" s="131"/>
      <c r="K156" s="267" t="s">
        <v>1002</v>
      </c>
      <c r="N156" s="117">
        <f t="shared" si="35"/>
        <v>0</v>
      </c>
      <c r="O156" s="275">
        <v>1</v>
      </c>
      <c r="P156" s="265">
        <f t="shared" si="37"/>
        <v>0</v>
      </c>
      <c r="Q156" s="275">
        <v>1</v>
      </c>
      <c r="R156" s="275">
        <v>1</v>
      </c>
      <c r="S156" s="275">
        <v>1</v>
      </c>
      <c r="T156" s="275">
        <v>1</v>
      </c>
      <c r="U156" s="128"/>
      <c r="V156" s="131"/>
      <c r="W156" s="280" t="str">
        <f t="shared" si="38"/>
        <v xml:space="preserve"> </v>
      </c>
      <c r="X156" s="280" t="s">
        <v>715</v>
      </c>
      <c r="Y156" s="117">
        <f t="shared" si="36"/>
        <v>0</v>
      </c>
      <c r="AF156" s="128"/>
      <c r="AJ156" s="131"/>
    </row>
    <row r="157" spans="1:36" x14ac:dyDescent="0.2">
      <c r="A157" s="278" t="s">
        <v>711</v>
      </c>
      <c r="B157" s="265">
        <v>2</v>
      </c>
      <c r="C157" s="265">
        <v>100</v>
      </c>
      <c r="D157" s="265">
        <v>800</v>
      </c>
      <c r="E157" s="117" t="s">
        <v>715</v>
      </c>
      <c r="F157" s="265" t="s">
        <v>313</v>
      </c>
      <c r="G157" s="265" t="s">
        <v>313</v>
      </c>
      <c r="H157" s="265" t="s">
        <v>313</v>
      </c>
      <c r="I157" s="128"/>
      <c r="J157" s="131"/>
      <c r="K157" s="267" t="s">
        <v>1003</v>
      </c>
      <c r="N157" s="117">
        <f t="shared" si="35"/>
        <v>0</v>
      </c>
      <c r="O157" s="275">
        <v>1</v>
      </c>
      <c r="P157" s="265">
        <f t="shared" si="37"/>
        <v>1</v>
      </c>
      <c r="Q157" s="275">
        <v>1</v>
      </c>
      <c r="R157" s="275">
        <v>1</v>
      </c>
      <c r="S157" s="275">
        <v>1</v>
      </c>
      <c r="T157" s="275">
        <v>1</v>
      </c>
      <c r="U157" s="128"/>
      <c r="V157" s="131"/>
      <c r="W157" s="280" t="str">
        <f t="shared" si="38"/>
        <v xml:space="preserve"> </v>
      </c>
      <c r="X157" s="280" t="s">
        <v>313</v>
      </c>
      <c r="Y157" s="117">
        <f t="shared" si="36"/>
        <v>0</v>
      </c>
      <c r="AF157" s="128"/>
      <c r="AI157" s="1033" t="s">
        <v>1093</v>
      </c>
      <c r="AJ157" s="1034"/>
    </row>
    <row r="158" spans="1:36" x14ac:dyDescent="0.2">
      <c r="A158" s="278" t="s">
        <v>711</v>
      </c>
      <c r="B158" s="265">
        <v>2</v>
      </c>
      <c r="C158" s="265">
        <v>0</v>
      </c>
      <c r="D158" s="265">
        <v>50</v>
      </c>
      <c r="E158" s="117" t="s">
        <v>313</v>
      </c>
      <c r="F158" s="265" t="s">
        <v>715</v>
      </c>
      <c r="G158" s="265" t="s">
        <v>313</v>
      </c>
      <c r="H158" s="265" t="s">
        <v>313</v>
      </c>
      <c r="I158" s="128"/>
      <c r="J158" s="131"/>
      <c r="K158" s="267" t="s">
        <v>1076</v>
      </c>
      <c r="N158" s="117">
        <f t="shared" si="35"/>
        <v>0</v>
      </c>
      <c r="O158" s="275">
        <v>1</v>
      </c>
      <c r="P158" s="265">
        <f t="shared" si="37"/>
        <v>0</v>
      </c>
      <c r="Q158" s="275">
        <v>1</v>
      </c>
      <c r="R158" s="275">
        <v>0</v>
      </c>
      <c r="S158" s="275">
        <v>1</v>
      </c>
      <c r="T158" s="275">
        <v>1</v>
      </c>
      <c r="U158" s="128"/>
      <c r="V158" s="131"/>
      <c r="W158" s="280" t="str">
        <f t="shared" si="38"/>
        <v xml:space="preserve"> </v>
      </c>
      <c r="X158" s="280" t="s">
        <v>715</v>
      </c>
      <c r="Y158" s="117">
        <f t="shared" si="36"/>
        <v>0</v>
      </c>
      <c r="AF158" s="128"/>
      <c r="AI158" s="93" t="s">
        <v>717</v>
      </c>
      <c r="AJ158" s="93" t="s">
        <v>1094</v>
      </c>
    </row>
    <row r="159" spans="1:36" x14ac:dyDescent="0.2">
      <c r="A159" s="278" t="s">
        <v>711</v>
      </c>
      <c r="B159" s="265">
        <v>2</v>
      </c>
      <c r="C159" s="265">
        <v>100</v>
      </c>
      <c r="D159" s="265">
        <v>800</v>
      </c>
      <c r="E159" s="117" t="s">
        <v>313</v>
      </c>
      <c r="F159" s="265" t="s">
        <v>715</v>
      </c>
      <c r="G159" s="265" t="s">
        <v>313</v>
      </c>
      <c r="H159" s="265" t="s">
        <v>313</v>
      </c>
      <c r="I159" s="235"/>
      <c r="J159" s="286"/>
      <c r="K159" s="267" t="s">
        <v>1081</v>
      </c>
      <c r="N159" s="117">
        <f t="shared" si="35"/>
        <v>0</v>
      </c>
      <c r="O159" s="275">
        <v>1</v>
      </c>
      <c r="P159" s="265">
        <f t="shared" si="37"/>
        <v>1</v>
      </c>
      <c r="Q159" s="275">
        <v>1</v>
      </c>
      <c r="R159" s="275">
        <v>0</v>
      </c>
      <c r="S159" s="275">
        <v>1</v>
      </c>
      <c r="T159" s="275">
        <v>1</v>
      </c>
      <c r="U159" s="235"/>
      <c r="V159" s="286"/>
      <c r="W159" s="280" t="str">
        <f t="shared" si="38"/>
        <v xml:space="preserve"> </v>
      </c>
      <c r="X159" s="280" t="s">
        <v>313</v>
      </c>
      <c r="Y159" s="117">
        <f t="shared" si="36"/>
        <v>0</v>
      </c>
      <c r="AF159" s="235"/>
      <c r="AG159" s="285"/>
      <c r="AH159" s="285"/>
      <c r="AI159" s="93">
        <f>+AI132+AI99+AI28</f>
        <v>120</v>
      </c>
      <c r="AJ159" s="93">
        <f>+AJ132+AJ99+AJ28</f>
        <v>90</v>
      </c>
    </row>
    <row r="161" spans="1:31" x14ac:dyDescent="0.2">
      <c r="A161" s="1024" t="s">
        <v>1116</v>
      </c>
      <c r="B161" s="1025"/>
      <c r="C161" s="1025"/>
      <c r="D161" s="1026"/>
    </row>
    <row r="162" spans="1:31" x14ac:dyDescent="0.2">
      <c r="B162" s="268" t="s">
        <v>999</v>
      </c>
      <c r="C162" s="1023" t="s">
        <v>948</v>
      </c>
      <c r="D162" s="1023"/>
    </row>
    <row r="163" spans="1:31" x14ac:dyDescent="0.2">
      <c r="B163" s="268" t="s">
        <v>1115</v>
      </c>
      <c r="C163" s="268" t="s">
        <v>964</v>
      </c>
      <c r="D163" s="268" t="s">
        <v>965</v>
      </c>
      <c r="P163" s="268" t="s">
        <v>948</v>
      </c>
      <c r="X163" s="280" t="s">
        <v>937</v>
      </c>
      <c r="Y163" s="267" t="s">
        <v>951</v>
      </c>
      <c r="AC163" s="288" t="s">
        <v>938</v>
      </c>
      <c r="AD163" s="93" t="str">
        <f>VLOOKUP($S$6,X164:Y168,2,FALSE)</f>
        <v>51.14.</v>
      </c>
    </row>
    <row r="164" spans="1:31" x14ac:dyDescent="0.2">
      <c r="B164" s="117">
        <v>1</v>
      </c>
      <c r="C164" s="117">
        <v>50</v>
      </c>
      <c r="D164" s="289">
        <v>50</v>
      </c>
      <c r="E164" s="282"/>
      <c r="F164" s="283"/>
      <c r="G164" s="283"/>
      <c r="H164" s="283"/>
      <c r="I164" s="283"/>
      <c r="J164" s="284"/>
      <c r="K164" s="290" t="s">
        <v>2226</v>
      </c>
      <c r="P164" s="265">
        <f>IF(AND($E$2&gt;=C164,$E$2&lt;=D164),1,0)</f>
        <v>0</v>
      </c>
      <c r="X164" s="280">
        <f>+P164*B164</f>
        <v>0</v>
      </c>
      <c r="Y164" s="117">
        <f>IF(P164&lt;&gt;0,+K164,0)</f>
        <v>0</v>
      </c>
      <c r="AC164" s="288" t="s">
        <v>937</v>
      </c>
      <c r="AD164" s="93">
        <f>+$S$6</f>
        <v>2</v>
      </c>
    </row>
    <row r="165" spans="1:31" x14ac:dyDescent="0.2">
      <c r="B165" s="117">
        <v>1</v>
      </c>
      <c r="C165" s="117">
        <v>100</v>
      </c>
      <c r="D165" s="289">
        <v>100</v>
      </c>
      <c r="E165" s="128"/>
      <c r="J165" s="131"/>
      <c r="K165" s="290" t="s">
        <v>1113</v>
      </c>
      <c r="P165" s="265">
        <f>IF(AND($E$2&gt;=C165,$E$2&lt;=D165),1,0)</f>
        <v>0</v>
      </c>
      <c r="X165" s="280">
        <f>+P165*B165</f>
        <v>0</v>
      </c>
      <c r="Y165" s="117">
        <f>IF(P165&lt;&gt;0,+K165,0)</f>
        <v>0</v>
      </c>
      <c r="AC165" s="288" t="s">
        <v>568</v>
      </c>
      <c r="AD165" s="93">
        <f>IF(S9&lt;=6100,+S9,6100)</f>
        <v>3232.8</v>
      </c>
      <c r="AE165" s="111" t="s">
        <v>678</v>
      </c>
    </row>
    <row r="166" spans="1:31" x14ac:dyDescent="0.2">
      <c r="B166" s="117">
        <v>1</v>
      </c>
      <c r="C166" s="117">
        <v>150</v>
      </c>
      <c r="D166" s="289">
        <v>150</v>
      </c>
      <c r="E166" s="128"/>
      <c r="J166" s="131"/>
      <c r="K166" s="290" t="s">
        <v>1114</v>
      </c>
      <c r="P166" s="265">
        <f>IF(AND($E$2&gt;=C166,$E$2&lt;=D166),1,0)</f>
        <v>0</v>
      </c>
      <c r="X166" s="280">
        <f>+P166*B166</f>
        <v>0</v>
      </c>
      <c r="Y166" s="117">
        <f>IF(P166&lt;&gt;0,+K166,0)</f>
        <v>0</v>
      </c>
    </row>
    <row r="167" spans="1:31" x14ac:dyDescent="0.2">
      <c r="B167" s="117">
        <v>2</v>
      </c>
      <c r="C167" s="117">
        <v>200</v>
      </c>
      <c r="D167" s="289">
        <v>200</v>
      </c>
      <c r="E167" s="128"/>
      <c r="J167" s="131"/>
      <c r="K167" s="290" t="s">
        <v>2226</v>
      </c>
      <c r="P167" s="265">
        <f>IF(AND($E$2&gt;=C167,$E$2&lt;=D167),1,0)</f>
        <v>0</v>
      </c>
      <c r="X167" s="280">
        <f>+P167*B167</f>
        <v>0</v>
      </c>
      <c r="Y167" s="117">
        <f>IF(P167&lt;&gt;0,+K167,0)</f>
        <v>0</v>
      </c>
      <c r="AC167" s="288" t="s">
        <v>938</v>
      </c>
      <c r="AD167" s="93" t="str">
        <f>+AD163</f>
        <v>51.14.</v>
      </c>
      <c r="AE167" s="111" t="s">
        <v>678</v>
      </c>
    </row>
    <row r="168" spans="1:31" x14ac:dyDescent="0.2">
      <c r="B168" s="117">
        <v>2</v>
      </c>
      <c r="C168" s="117">
        <v>250</v>
      </c>
      <c r="D168" s="289">
        <v>800</v>
      </c>
      <c r="E168" s="235"/>
      <c r="F168" s="285"/>
      <c r="G168" s="285"/>
      <c r="H168" s="285"/>
      <c r="I168" s="285"/>
      <c r="J168" s="286"/>
      <c r="K168" s="290" t="s">
        <v>2226</v>
      </c>
      <c r="P168" s="265">
        <f>IF(AND($E$2&gt;=C168,$E$2&lt;=D168),1,0)</f>
        <v>1</v>
      </c>
      <c r="X168" s="280">
        <f>+P168*B168</f>
        <v>2</v>
      </c>
      <c r="Y168" s="117" t="str">
        <f>IF(P168&lt;&gt;0,+K168,0)</f>
        <v>51.14.</v>
      </c>
      <c r="AC168" s="288" t="s">
        <v>937</v>
      </c>
      <c r="AD168" s="93">
        <f>IF(S9&gt;6100,+AD164,0)</f>
        <v>0</v>
      </c>
      <c r="AE168" s="111" t="s">
        <v>678</v>
      </c>
    </row>
    <row r="169" spans="1:31" x14ac:dyDescent="0.2">
      <c r="X169" s="236">
        <f>SUM(X164:X168)</f>
        <v>2</v>
      </c>
      <c r="AC169" s="288" t="s">
        <v>568</v>
      </c>
      <c r="AD169" s="93">
        <f>IF(S9&gt;6100,+S9-6100,0)</f>
        <v>0</v>
      </c>
      <c r="AE169" s="111" t="s">
        <v>678</v>
      </c>
    </row>
    <row r="171" spans="1:31" x14ac:dyDescent="0.2">
      <c r="A171" s="1024" t="s">
        <v>1117</v>
      </c>
      <c r="B171" s="1025"/>
      <c r="C171" s="1025"/>
      <c r="D171" s="1026"/>
    </row>
    <row r="173" spans="1:31" x14ac:dyDescent="0.2">
      <c r="B173" s="268" t="s">
        <v>568</v>
      </c>
      <c r="C173" s="268" t="s">
        <v>937</v>
      </c>
      <c r="AC173" s="288" t="s">
        <v>938</v>
      </c>
      <c r="AD173" s="93" t="str">
        <f>IF($S$6=2,"51.14."," ")</f>
        <v>51.14.</v>
      </c>
    </row>
    <row r="174" spans="1:31" x14ac:dyDescent="0.2">
      <c r="B174" s="117">
        <v>10000</v>
      </c>
      <c r="C174" s="117">
        <v>12</v>
      </c>
      <c r="AC174" s="288" t="s">
        <v>937</v>
      </c>
      <c r="AD174" s="93">
        <f>IF($S$6=2,INDEX(C174:C183,MATCH(S9,B174:B183,-1),1),0)</f>
        <v>5</v>
      </c>
      <c r="AE174" s="111" t="s">
        <v>678</v>
      </c>
    </row>
    <row r="175" spans="1:31" x14ac:dyDescent="0.2">
      <c r="B175" s="117">
        <f t="shared" ref="B175:B183" si="39">+B174-1000</f>
        <v>9000</v>
      </c>
      <c r="C175" s="117">
        <v>11</v>
      </c>
      <c r="AC175" s="288" t="s">
        <v>568</v>
      </c>
      <c r="AD175" s="93">
        <f>IF($S$6=2,+P0Q2-100,0)</f>
        <v>700</v>
      </c>
    </row>
    <row r="176" spans="1:31" x14ac:dyDescent="0.2">
      <c r="B176" s="117">
        <f t="shared" si="39"/>
        <v>8000</v>
      </c>
      <c r="C176" s="117">
        <v>10</v>
      </c>
    </row>
    <row r="177" spans="1:31" x14ac:dyDescent="0.2">
      <c r="B177" s="117">
        <f t="shared" si="39"/>
        <v>7000</v>
      </c>
      <c r="C177" s="117">
        <v>9</v>
      </c>
      <c r="AC177" s="288" t="s">
        <v>938</v>
      </c>
      <c r="AD177" s="93" t="str">
        <f>IF($S$6=2,"82.40.0741"," ")</f>
        <v>82.40.0741</v>
      </c>
    </row>
    <row r="178" spans="1:31" x14ac:dyDescent="0.2">
      <c r="B178" s="117">
        <f t="shared" si="39"/>
        <v>6000</v>
      </c>
      <c r="C178" s="117">
        <v>8</v>
      </c>
      <c r="AC178" s="288" t="s">
        <v>937</v>
      </c>
      <c r="AD178" s="93">
        <f>IF($S$6=2,+AD174*2,0)</f>
        <v>10</v>
      </c>
    </row>
    <row r="179" spans="1:31" x14ac:dyDescent="0.2">
      <c r="B179" s="117">
        <f t="shared" si="39"/>
        <v>5000</v>
      </c>
      <c r="C179" s="117">
        <v>6</v>
      </c>
    </row>
    <row r="180" spans="1:31" x14ac:dyDescent="0.2">
      <c r="B180" s="117">
        <f t="shared" si="39"/>
        <v>4000</v>
      </c>
      <c r="C180" s="117">
        <v>5</v>
      </c>
      <c r="AC180" s="288" t="s">
        <v>938</v>
      </c>
      <c r="AD180" s="93" t="str">
        <f>IF($S$9&gt;5100,"B46.07.003"," ")</f>
        <v xml:space="preserve"> </v>
      </c>
    </row>
    <row r="181" spans="1:31" x14ac:dyDescent="0.2">
      <c r="B181" s="117">
        <f t="shared" si="39"/>
        <v>3000</v>
      </c>
      <c r="C181" s="117">
        <v>4</v>
      </c>
      <c r="AC181" s="288" t="s">
        <v>937</v>
      </c>
      <c r="AD181" s="93">
        <f>IF($S$9&gt;5100,2,0)</f>
        <v>0</v>
      </c>
    </row>
    <row r="182" spans="1:31" x14ac:dyDescent="0.2">
      <c r="B182" s="117">
        <f t="shared" si="39"/>
        <v>2000</v>
      </c>
      <c r="C182" s="117">
        <v>3</v>
      </c>
    </row>
    <row r="183" spans="1:31" x14ac:dyDescent="0.2">
      <c r="B183" s="117">
        <f t="shared" si="39"/>
        <v>1000</v>
      </c>
      <c r="C183" s="117">
        <v>2</v>
      </c>
    </row>
    <row r="186" spans="1:31" x14ac:dyDescent="0.2">
      <c r="A186" s="1024" t="s">
        <v>2184</v>
      </c>
      <c r="B186" s="1025"/>
      <c r="C186" s="1025"/>
      <c r="D186" s="1026"/>
    </row>
    <row r="187" spans="1:31" x14ac:dyDescent="0.2">
      <c r="C187" s="1023" t="s">
        <v>948</v>
      </c>
      <c r="D187" s="1023"/>
    </row>
    <row r="188" spans="1:31" x14ac:dyDescent="0.2">
      <c r="C188" s="268" t="s">
        <v>964</v>
      </c>
      <c r="D188" s="268" t="s">
        <v>965</v>
      </c>
      <c r="P188" s="268" t="s">
        <v>948</v>
      </c>
    </row>
    <row r="189" spans="1:31" x14ac:dyDescent="0.2">
      <c r="C189" s="117">
        <v>50</v>
      </c>
      <c r="D189" s="289">
        <v>50</v>
      </c>
      <c r="E189" s="282"/>
      <c r="F189" s="283"/>
      <c r="G189" s="283"/>
      <c r="H189" s="283"/>
      <c r="I189" s="283"/>
      <c r="J189" s="283"/>
      <c r="K189" s="283"/>
      <c r="L189" s="283"/>
      <c r="M189" s="283"/>
      <c r="N189" s="283"/>
      <c r="O189" s="284"/>
      <c r="P189" s="291">
        <f t="shared" ref="P189:P199" si="40">IF(AND($E$2&gt;=C189,$E$2&lt;=D189),1,0)</f>
        <v>0</v>
      </c>
      <c r="Q189" s="282"/>
      <c r="R189" s="283"/>
      <c r="S189" s="283"/>
      <c r="T189" s="283"/>
      <c r="U189" s="283"/>
      <c r="V189" s="283"/>
      <c r="W189" s="292"/>
      <c r="X189" s="293"/>
      <c r="Y189" s="267" t="s">
        <v>1119</v>
      </c>
      <c r="AC189" s="288" t="s">
        <v>938</v>
      </c>
      <c r="AD189" s="93" t="str">
        <f>VLOOKUP(1,P189:Y199,10,FALSE)</f>
        <v>P57.01.800</v>
      </c>
      <c r="AE189" s="111" t="s">
        <v>1948</v>
      </c>
    </row>
    <row r="190" spans="1:31" x14ac:dyDescent="0.2">
      <c r="C190" s="117">
        <v>100</v>
      </c>
      <c r="D190" s="289">
        <v>100</v>
      </c>
      <c r="E190" s="128"/>
      <c r="O190" s="131"/>
      <c r="P190" s="291">
        <f t="shared" si="40"/>
        <v>0</v>
      </c>
      <c r="Q190" s="128"/>
      <c r="X190" s="287"/>
      <c r="Y190" s="267" t="s">
        <v>1120</v>
      </c>
      <c r="AC190" s="288" t="s">
        <v>1130</v>
      </c>
      <c r="AD190" s="93">
        <f>CEILING($S$11/1500,0.5)</f>
        <v>2.5</v>
      </c>
    </row>
    <row r="191" spans="1:31" x14ac:dyDescent="0.2">
      <c r="C191" s="117">
        <v>150</v>
      </c>
      <c r="D191" s="289">
        <v>150</v>
      </c>
      <c r="E191" s="128"/>
      <c r="O191" s="131"/>
      <c r="P191" s="291">
        <f t="shared" si="40"/>
        <v>0</v>
      </c>
      <c r="Q191" s="128"/>
      <c r="X191" s="287"/>
      <c r="Y191" s="267" t="s">
        <v>1121</v>
      </c>
    </row>
    <row r="192" spans="1:31" x14ac:dyDescent="0.2">
      <c r="C192" s="117">
        <v>200</v>
      </c>
      <c r="D192" s="289">
        <v>200</v>
      </c>
      <c r="E192" s="128"/>
      <c r="O192" s="131"/>
      <c r="P192" s="291">
        <f t="shared" si="40"/>
        <v>0</v>
      </c>
      <c r="Q192" s="128"/>
      <c r="X192" s="287"/>
      <c r="Y192" s="267" t="s">
        <v>1122</v>
      </c>
    </row>
    <row r="193" spans="3:31" x14ac:dyDescent="0.2">
      <c r="C193" s="117">
        <v>250</v>
      </c>
      <c r="D193" s="289">
        <v>250</v>
      </c>
      <c r="E193" s="128"/>
      <c r="O193" s="131"/>
      <c r="P193" s="291">
        <f t="shared" si="40"/>
        <v>0</v>
      </c>
      <c r="Q193" s="128"/>
      <c r="X193" s="287"/>
      <c r="Y193" s="267" t="s">
        <v>1123</v>
      </c>
    </row>
    <row r="194" spans="3:31" x14ac:dyDescent="0.2">
      <c r="C194" s="117">
        <v>300</v>
      </c>
      <c r="D194" s="289">
        <v>300</v>
      </c>
      <c r="E194" s="128"/>
      <c r="O194" s="131"/>
      <c r="P194" s="291">
        <f t="shared" si="40"/>
        <v>0</v>
      </c>
      <c r="Q194" s="128"/>
      <c r="X194" s="287"/>
      <c r="Y194" s="267" t="s">
        <v>1124</v>
      </c>
    </row>
    <row r="195" spans="3:31" x14ac:dyDescent="0.2">
      <c r="C195" s="117">
        <v>400</v>
      </c>
      <c r="D195" s="289">
        <v>400</v>
      </c>
      <c r="E195" s="128"/>
      <c r="O195" s="131"/>
      <c r="P195" s="291">
        <f t="shared" si="40"/>
        <v>0</v>
      </c>
      <c r="Q195" s="128"/>
      <c r="X195" s="287"/>
      <c r="Y195" s="267" t="s">
        <v>1125</v>
      </c>
    </row>
    <row r="196" spans="3:31" x14ac:dyDescent="0.2">
      <c r="C196" s="117">
        <v>500</v>
      </c>
      <c r="D196" s="289">
        <v>500</v>
      </c>
      <c r="E196" s="128"/>
      <c r="O196" s="131"/>
      <c r="P196" s="291">
        <f t="shared" si="40"/>
        <v>0</v>
      </c>
      <c r="Q196" s="128"/>
      <c r="X196" s="287"/>
      <c r="Y196" s="267" t="s">
        <v>1126</v>
      </c>
    </row>
    <row r="197" spans="3:31" x14ac:dyDescent="0.2">
      <c r="C197" s="117">
        <v>600</v>
      </c>
      <c r="D197" s="289">
        <v>600</v>
      </c>
      <c r="E197" s="128"/>
      <c r="O197" s="131"/>
      <c r="P197" s="291">
        <f t="shared" si="40"/>
        <v>0</v>
      </c>
      <c r="Q197" s="128"/>
      <c r="X197" s="287"/>
      <c r="Y197" s="267" t="s">
        <v>1127</v>
      </c>
    </row>
    <row r="198" spans="3:31" x14ac:dyDescent="0.2">
      <c r="C198" s="117">
        <v>700</v>
      </c>
      <c r="D198" s="289">
        <v>700</v>
      </c>
      <c r="E198" s="128"/>
      <c r="O198" s="131"/>
      <c r="P198" s="291">
        <f t="shared" si="40"/>
        <v>0</v>
      </c>
      <c r="Q198" s="128"/>
      <c r="X198" s="287"/>
      <c r="Y198" s="267" t="s">
        <v>1128</v>
      </c>
    </row>
    <row r="199" spans="3:31" x14ac:dyDescent="0.2">
      <c r="C199" s="117">
        <v>800</v>
      </c>
      <c r="D199" s="289">
        <v>800</v>
      </c>
      <c r="E199" s="235"/>
      <c r="F199" s="285"/>
      <c r="G199" s="285"/>
      <c r="H199" s="285"/>
      <c r="I199" s="285"/>
      <c r="J199" s="285"/>
      <c r="K199" s="285"/>
      <c r="L199" s="285"/>
      <c r="M199" s="285"/>
      <c r="N199" s="285"/>
      <c r="O199" s="286"/>
      <c r="P199" s="291">
        <f t="shared" si="40"/>
        <v>1</v>
      </c>
      <c r="Q199" s="235"/>
      <c r="R199" s="285"/>
      <c r="S199" s="285"/>
      <c r="T199" s="285"/>
      <c r="U199" s="285"/>
      <c r="V199" s="285"/>
      <c r="W199" s="294"/>
      <c r="X199" s="295"/>
      <c r="Y199" s="267" t="s">
        <v>1129</v>
      </c>
    </row>
    <row r="201" spans="3:31" ht="14.25" x14ac:dyDescent="0.2">
      <c r="C201" s="117">
        <v>50</v>
      </c>
      <c r="D201" s="289">
        <v>50</v>
      </c>
      <c r="E201" s="282"/>
      <c r="F201" s="283"/>
      <c r="G201" s="283"/>
      <c r="H201" s="283"/>
      <c r="I201" s="283"/>
      <c r="J201" s="283"/>
      <c r="K201" s="283"/>
      <c r="L201" s="283"/>
      <c r="M201" s="283"/>
      <c r="N201" s="283"/>
      <c r="O201" s="284"/>
      <c r="P201" s="291">
        <f t="shared" ref="P201:P211" si="41">IF(AND($E$2&gt;=C201,$E$2&lt;=D201),1,0)</f>
        <v>0</v>
      </c>
      <c r="Q201" s="282"/>
      <c r="R201" s="283"/>
      <c r="S201" s="283"/>
      <c r="T201" s="283"/>
      <c r="U201" s="283"/>
      <c r="V201" s="283"/>
      <c r="W201" s="292"/>
      <c r="X201" s="293"/>
      <c r="Y201" s="792" t="s">
        <v>2344</v>
      </c>
      <c r="AC201" s="802" t="s">
        <v>938</v>
      </c>
      <c r="AD201" s="803">
        <f>VLOOKUP(1,P201:Y211,10,FALSE)</f>
        <v>0</v>
      </c>
      <c r="AE201" s="111" t="s">
        <v>2381</v>
      </c>
    </row>
    <row r="202" spans="3:31" ht="14.25" x14ac:dyDescent="0.2">
      <c r="C202" s="117">
        <v>100</v>
      </c>
      <c r="D202" s="289">
        <v>100</v>
      </c>
      <c r="E202" s="128"/>
      <c r="O202" s="131"/>
      <c r="P202" s="291">
        <f t="shared" si="41"/>
        <v>0</v>
      </c>
      <c r="Q202" s="128"/>
      <c r="X202" s="287"/>
      <c r="Y202" s="793" t="s">
        <v>2347</v>
      </c>
    </row>
    <row r="203" spans="3:31" ht="14.25" x14ac:dyDescent="0.2">
      <c r="C203" s="117">
        <v>150</v>
      </c>
      <c r="D203" s="289">
        <v>150</v>
      </c>
      <c r="E203" s="128"/>
      <c r="O203" s="131"/>
      <c r="P203" s="291">
        <f t="shared" si="41"/>
        <v>0</v>
      </c>
      <c r="Q203" s="128"/>
      <c r="X203" s="287"/>
      <c r="Y203" s="793" t="s">
        <v>2349</v>
      </c>
    </row>
    <row r="204" spans="3:31" ht="14.25" x14ac:dyDescent="0.2">
      <c r="C204" s="117">
        <v>200</v>
      </c>
      <c r="D204" s="289">
        <v>200</v>
      </c>
      <c r="E204" s="128"/>
      <c r="O204" s="131"/>
      <c r="P204" s="291">
        <f t="shared" si="41"/>
        <v>0</v>
      </c>
      <c r="Q204" s="128"/>
      <c r="X204" s="287"/>
      <c r="Y204" s="793" t="s">
        <v>2351</v>
      </c>
    </row>
    <row r="205" spans="3:31" ht="14.25" x14ac:dyDescent="0.2">
      <c r="C205" s="117">
        <v>250</v>
      </c>
      <c r="D205" s="289">
        <v>250</v>
      </c>
      <c r="E205" s="128"/>
      <c r="O205" s="131"/>
      <c r="P205" s="291">
        <f t="shared" si="41"/>
        <v>0</v>
      </c>
      <c r="Q205" s="128"/>
      <c r="X205" s="287"/>
      <c r="Y205" s="793" t="s">
        <v>2353</v>
      </c>
    </row>
    <row r="206" spans="3:31" ht="14.25" x14ac:dyDescent="0.2">
      <c r="C206" s="117">
        <v>300</v>
      </c>
      <c r="D206" s="289">
        <v>300</v>
      </c>
      <c r="E206" s="128"/>
      <c r="O206" s="131"/>
      <c r="P206" s="291">
        <f t="shared" si="41"/>
        <v>0</v>
      </c>
      <c r="Q206" s="128"/>
      <c r="X206" s="287"/>
      <c r="Y206" s="793" t="s">
        <v>2355</v>
      </c>
    </row>
    <row r="207" spans="3:31" ht="14.25" x14ac:dyDescent="0.2">
      <c r="C207" s="117">
        <v>400</v>
      </c>
      <c r="D207" s="289">
        <v>400</v>
      </c>
      <c r="E207" s="128"/>
      <c r="O207" s="131"/>
      <c r="P207" s="291">
        <f t="shared" si="41"/>
        <v>0</v>
      </c>
      <c r="Q207" s="128"/>
      <c r="X207" s="287"/>
      <c r="Y207" s="793" t="s">
        <v>2357</v>
      </c>
    </row>
    <row r="208" spans="3:31" ht="14.25" x14ac:dyDescent="0.2">
      <c r="C208" s="117">
        <v>500</v>
      </c>
      <c r="D208" s="289">
        <v>500</v>
      </c>
      <c r="E208" s="128"/>
      <c r="O208" s="131"/>
      <c r="P208" s="291">
        <f t="shared" si="41"/>
        <v>0</v>
      </c>
      <c r="Q208" s="128"/>
      <c r="X208" s="287"/>
      <c r="Y208" s="793" t="s">
        <v>2359</v>
      </c>
    </row>
    <row r="209" spans="1:31" ht="14.25" x14ac:dyDescent="0.2">
      <c r="C209" s="117">
        <v>600</v>
      </c>
      <c r="D209" s="289">
        <v>600</v>
      </c>
      <c r="E209" s="128"/>
      <c r="O209" s="131"/>
      <c r="P209" s="291">
        <f t="shared" si="41"/>
        <v>0</v>
      </c>
      <c r="Q209" s="128"/>
      <c r="X209" s="287"/>
      <c r="Y209" s="793" t="s">
        <v>2361</v>
      </c>
    </row>
    <row r="210" spans="1:31" x14ac:dyDescent="0.2">
      <c r="C210" s="117">
        <v>700</v>
      </c>
      <c r="D210" s="289">
        <v>700</v>
      </c>
      <c r="E210" s="128"/>
      <c r="O210" s="131"/>
      <c r="P210" s="291">
        <f t="shared" si="41"/>
        <v>0</v>
      </c>
      <c r="Q210" s="128"/>
      <c r="X210" s="287"/>
      <c r="Y210" s="267"/>
    </row>
    <row r="211" spans="1:31" x14ac:dyDescent="0.2">
      <c r="C211" s="117">
        <v>800</v>
      </c>
      <c r="D211" s="289">
        <v>800</v>
      </c>
      <c r="E211" s="235"/>
      <c r="F211" s="285"/>
      <c r="G211" s="285"/>
      <c r="H211" s="285"/>
      <c r="I211" s="285"/>
      <c r="J211" s="285"/>
      <c r="K211" s="285"/>
      <c r="L211" s="285"/>
      <c r="M211" s="285"/>
      <c r="N211" s="285"/>
      <c r="O211" s="286"/>
      <c r="P211" s="291">
        <f t="shared" si="41"/>
        <v>1</v>
      </c>
      <c r="Q211" s="235"/>
      <c r="R211" s="285"/>
      <c r="S211" s="285"/>
      <c r="T211" s="285"/>
      <c r="U211" s="285"/>
      <c r="V211" s="285"/>
      <c r="W211" s="294"/>
      <c r="X211" s="295"/>
      <c r="Y211" s="267"/>
    </row>
    <row r="213" spans="1:31" x14ac:dyDescent="0.2">
      <c r="A213" s="1024" t="s">
        <v>2185</v>
      </c>
      <c r="B213" s="1025"/>
      <c r="C213" s="1025"/>
      <c r="D213" s="1026"/>
    </row>
    <row r="214" spans="1:31" x14ac:dyDescent="0.2">
      <c r="C214" s="1023" t="s">
        <v>948</v>
      </c>
      <c r="D214" s="1023"/>
    </row>
    <row r="215" spans="1:31" x14ac:dyDescent="0.2">
      <c r="C215" s="268" t="s">
        <v>964</v>
      </c>
      <c r="D215" s="268" t="s">
        <v>965</v>
      </c>
      <c r="P215" s="268" t="s">
        <v>948</v>
      </c>
    </row>
    <row r="216" spans="1:31" x14ac:dyDescent="0.2">
      <c r="C216" s="117">
        <v>50</v>
      </c>
      <c r="D216" s="289">
        <v>50</v>
      </c>
      <c r="E216" s="282"/>
      <c r="F216" s="283"/>
      <c r="G216" s="283"/>
      <c r="H216" s="283"/>
      <c r="I216" s="283"/>
      <c r="J216" s="283"/>
      <c r="K216" s="283"/>
      <c r="L216" s="283"/>
      <c r="M216" s="283"/>
      <c r="N216" s="283"/>
      <c r="O216" s="284"/>
      <c r="P216" s="291">
        <f t="shared" ref="P216:P226" si="42">IF(AND($E$2&gt;=C216,$E$2&lt;=D216),1,0)</f>
        <v>0</v>
      </c>
      <c r="Q216" s="282"/>
      <c r="R216" s="283"/>
      <c r="S216" s="283"/>
      <c r="T216" s="283"/>
      <c r="U216" s="283"/>
      <c r="V216" s="283"/>
      <c r="W216" s="292"/>
      <c r="X216" s="293"/>
      <c r="Y216" s="267" t="s">
        <v>2196</v>
      </c>
      <c r="AC216" s="288" t="s">
        <v>938</v>
      </c>
      <c r="AD216" s="93" t="str">
        <f>VLOOKUP(1,P216:Y226,10,FALSE)</f>
        <v>P57.03.800</v>
      </c>
      <c r="AE216" s="111" t="s">
        <v>1948</v>
      </c>
    </row>
    <row r="217" spans="1:31" x14ac:dyDescent="0.2">
      <c r="C217" s="117">
        <v>100</v>
      </c>
      <c r="D217" s="289">
        <v>100</v>
      </c>
      <c r="E217" s="128"/>
      <c r="O217" s="131"/>
      <c r="P217" s="291">
        <f t="shared" si="42"/>
        <v>0</v>
      </c>
      <c r="Q217" s="128"/>
      <c r="X217" s="287"/>
      <c r="Y217" s="267" t="s">
        <v>2186</v>
      </c>
      <c r="AC217" s="288" t="s">
        <v>1130</v>
      </c>
      <c r="AD217" s="93">
        <f>CEILING($S$11/1500,0.5)</f>
        <v>2.5</v>
      </c>
    </row>
    <row r="218" spans="1:31" x14ac:dyDescent="0.2">
      <c r="C218" s="117">
        <v>150</v>
      </c>
      <c r="D218" s="289">
        <v>150</v>
      </c>
      <c r="E218" s="128"/>
      <c r="O218" s="131"/>
      <c r="P218" s="291">
        <f t="shared" si="42"/>
        <v>0</v>
      </c>
      <c r="Q218" s="128"/>
      <c r="X218" s="287"/>
      <c r="Y218" s="267" t="s">
        <v>2187</v>
      </c>
    </row>
    <row r="219" spans="1:31" x14ac:dyDescent="0.2">
      <c r="C219" s="117">
        <v>200</v>
      </c>
      <c r="D219" s="289">
        <v>200</v>
      </c>
      <c r="E219" s="128"/>
      <c r="O219" s="131"/>
      <c r="P219" s="291">
        <f t="shared" si="42"/>
        <v>0</v>
      </c>
      <c r="Q219" s="128"/>
      <c r="X219" s="287"/>
      <c r="Y219" s="267" t="s">
        <v>2188</v>
      </c>
    </row>
    <row r="220" spans="1:31" x14ac:dyDescent="0.2">
      <c r="C220" s="117">
        <v>250</v>
      </c>
      <c r="D220" s="289">
        <v>250</v>
      </c>
      <c r="E220" s="128"/>
      <c r="O220" s="131"/>
      <c r="P220" s="291">
        <f t="shared" si="42"/>
        <v>0</v>
      </c>
      <c r="Q220" s="128"/>
      <c r="X220" s="287"/>
      <c r="Y220" s="267" t="s">
        <v>2189</v>
      </c>
    </row>
    <row r="221" spans="1:31" x14ac:dyDescent="0.2">
      <c r="C221" s="117">
        <v>300</v>
      </c>
      <c r="D221" s="289">
        <v>300</v>
      </c>
      <c r="E221" s="128"/>
      <c r="O221" s="131"/>
      <c r="P221" s="291">
        <f t="shared" si="42"/>
        <v>0</v>
      </c>
      <c r="Q221" s="128"/>
      <c r="X221" s="287"/>
      <c r="Y221" s="267" t="s">
        <v>2190</v>
      </c>
    </row>
    <row r="222" spans="1:31" x14ac:dyDescent="0.2">
      <c r="C222" s="117">
        <v>400</v>
      </c>
      <c r="D222" s="289">
        <v>400</v>
      </c>
      <c r="E222" s="128"/>
      <c r="O222" s="131"/>
      <c r="P222" s="291">
        <f t="shared" si="42"/>
        <v>0</v>
      </c>
      <c r="Q222" s="128"/>
      <c r="X222" s="287"/>
      <c r="Y222" s="267" t="s">
        <v>2191</v>
      </c>
    </row>
    <row r="223" spans="1:31" x14ac:dyDescent="0.2">
      <c r="C223" s="117">
        <v>500</v>
      </c>
      <c r="D223" s="289">
        <v>500</v>
      </c>
      <c r="E223" s="128"/>
      <c r="O223" s="131"/>
      <c r="P223" s="291">
        <f t="shared" si="42"/>
        <v>0</v>
      </c>
      <c r="Q223" s="128"/>
      <c r="X223" s="287"/>
      <c r="Y223" s="267" t="s">
        <v>2192</v>
      </c>
    </row>
    <row r="224" spans="1:31" x14ac:dyDescent="0.2">
      <c r="C224" s="117">
        <v>600</v>
      </c>
      <c r="D224" s="289">
        <v>600</v>
      </c>
      <c r="E224" s="128"/>
      <c r="O224" s="131"/>
      <c r="P224" s="291">
        <f t="shared" si="42"/>
        <v>0</v>
      </c>
      <c r="Q224" s="128"/>
      <c r="X224" s="287"/>
      <c r="Y224" s="267" t="s">
        <v>2193</v>
      </c>
    </row>
    <row r="225" spans="1:31" x14ac:dyDescent="0.2">
      <c r="C225" s="117">
        <v>700</v>
      </c>
      <c r="D225" s="289">
        <v>700</v>
      </c>
      <c r="E225" s="128"/>
      <c r="O225" s="131"/>
      <c r="P225" s="291">
        <f t="shared" si="42"/>
        <v>0</v>
      </c>
      <c r="Q225" s="128"/>
      <c r="X225" s="287"/>
      <c r="Y225" s="267" t="s">
        <v>2194</v>
      </c>
    </row>
    <row r="226" spans="1:31" x14ac:dyDescent="0.2">
      <c r="C226" s="117">
        <v>800</v>
      </c>
      <c r="D226" s="289">
        <v>800</v>
      </c>
      <c r="E226" s="235"/>
      <c r="F226" s="285"/>
      <c r="G226" s="285"/>
      <c r="H226" s="285"/>
      <c r="I226" s="285"/>
      <c r="J226" s="285"/>
      <c r="K226" s="285"/>
      <c r="L226" s="285"/>
      <c r="M226" s="285"/>
      <c r="N226" s="285"/>
      <c r="O226" s="286"/>
      <c r="P226" s="291">
        <f t="shared" si="42"/>
        <v>1</v>
      </c>
      <c r="Q226" s="235"/>
      <c r="R226" s="285"/>
      <c r="S226" s="285"/>
      <c r="T226" s="285"/>
      <c r="U226" s="285"/>
      <c r="V226" s="285"/>
      <c r="W226" s="294"/>
      <c r="X226" s="295"/>
      <c r="Y226" s="267" t="s">
        <v>2195</v>
      </c>
    </row>
    <row r="228" spans="1:31" ht="14.25" x14ac:dyDescent="0.2">
      <c r="C228" s="117">
        <v>50</v>
      </c>
      <c r="D228" s="289">
        <v>50</v>
      </c>
      <c r="E228" s="282"/>
      <c r="F228" s="283"/>
      <c r="G228" s="283"/>
      <c r="H228" s="283"/>
      <c r="I228" s="283"/>
      <c r="J228" s="283"/>
      <c r="K228" s="283"/>
      <c r="L228" s="283"/>
      <c r="M228" s="283"/>
      <c r="N228" s="283"/>
      <c r="O228" s="284"/>
      <c r="P228" s="291">
        <f t="shared" ref="P228:P238" si="43">IF(AND($E$2&gt;=C228,$E$2&lt;=D228),1,0)</f>
        <v>0</v>
      </c>
      <c r="Q228" s="282"/>
      <c r="R228" s="283"/>
      <c r="S228" s="283"/>
      <c r="T228" s="283"/>
      <c r="U228" s="283"/>
      <c r="V228" s="283"/>
      <c r="W228" s="292"/>
      <c r="X228" s="293"/>
      <c r="Y228" s="792" t="s">
        <v>2363</v>
      </c>
      <c r="AC228" s="802" t="s">
        <v>938</v>
      </c>
      <c r="AD228" s="803">
        <f>VLOOKUP(1,P228:Y238,10,FALSE)</f>
        <v>0</v>
      </c>
      <c r="AE228" s="111" t="s">
        <v>2381</v>
      </c>
    </row>
    <row r="229" spans="1:31" ht="14.25" x14ac:dyDescent="0.2">
      <c r="C229" s="117">
        <v>100</v>
      </c>
      <c r="D229" s="289">
        <v>100</v>
      </c>
      <c r="E229" s="128"/>
      <c r="O229" s="131"/>
      <c r="P229" s="291">
        <f t="shared" si="43"/>
        <v>0</v>
      </c>
      <c r="Q229" s="128"/>
      <c r="X229" s="287"/>
      <c r="Y229" s="793" t="s">
        <v>2365</v>
      </c>
    </row>
    <row r="230" spans="1:31" ht="14.25" x14ac:dyDescent="0.2">
      <c r="C230" s="117">
        <v>150</v>
      </c>
      <c r="D230" s="289">
        <v>150</v>
      </c>
      <c r="E230" s="128"/>
      <c r="O230" s="131"/>
      <c r="P230" s="291">
        <f t="shared" si="43"/>
        <v>0</v>
      </c>
      <c r="Q230" s="128"/>
      <c r="X230" s="287"/>
      <c r="Y230" s="793" t="s">
        <v>2367</v>
      </c>
    </row>
    <row r="231" spans="1:31" ht="14.25" x14ac:dyDescent="0.2">
      <c r="C231" s="117">
        <v>200</v>
      </c>
      <c r="D231" s="289">
        <v>200</v>
      </c>
      <c r="E231" s="128"/>
      <c r="O231" s="131"/>
      <c r="P231" s="291">
        <f t="shared" si="43"/>
        <v>0</v>
      </c>
      <c r="Q231" s="128"/>
      <c r="X231" s="287"/>
      <c r="Y231" s="793" t="s">
        <v>2369</v>
      </c>
    </row>
    <row r="232" spans="1:31" ht="14.25" x14ac:dyDescent="0.2">
      <c r="C232" s="117">
        <v>250</v>
      </c>
      <c r="D232" s="289">
        <v>250</v>
      </c>
      <c r="E232" s="128"/>
      <c r="O232" s="131"/>
      <c r="P232" s="291">
        <f t="shared" si="43"/>
        <v>0</v>
      </c>
      <c r="Q232" s="128"/>
      <c r="X232" s="287"/>
      <c r="Y232" s="793" t="s">
        <v>2371</v>
      </c>
    </row>
    <row r="233" spans="1:31" ht="14.25" x14ac:dyDescent="0.2">
      <c r="C233" s="117">
        <v>300</v>
      </c>
      <c r="D233" s="289">
        <v>300</v>
      </c>
      <c r="E233" s="128"/>
      <c r="O233" s="131"/>
      <c r="P233" s="291">
        <f t="shared" si="43"/>
        <v>0</v>
      </c>
      <c r="Q233" s="128"/>
      <c r="X233" s="287"/>
      <c r="Y233" s="793" t="s">
        <v>2373</v>
      </c>
    </row>
    <row r="234" spans="1:31" ht="14.25" x14ac:dyDescent="0.2">
      <c r="C234" s="117">
        <v>400</v>
      </c>
      <c r="D234" s="289">
        <v>400</v>
      </c>
      <c r="E234" s="128"/>
      <c r="O234" s="131"/>
      <c r="P234" s="291">
        <f t="shared" si="43"/>
        <v>0</v>
      </c>
      <c r="Q234" s="128"/>
      <c r="X234" s="287"/>
      <c r="Y234" s="793" t="s">
        <v>2375</v>
      </c>
    </row>
    <row r="235" spans="1:31" ht="14.25" x14ac:dyDescent="0.2">
      <c r="C235" s="117">
        <v>500</v>
      </c>
      <c r="D235" s="289">
        <v>500</v>
      </c>
      <c r="E235" s="128"/>
      <c r="O235" s="131"/>
      <c r="P235" s="291">
        <f t="shared" si="43"/>
        <v>0</v>
      </c>
      <c r="Q235" s="128"/>
      <c r="X235" s="287"/>
      <c r="Y235" s="793" t="s">
        <v>2377</v>
      </c>
    </row>
    <row r="236" spans="1:31" ht="14.25" x14ac:dyDescent="0.2">
      <c r="C236" s="117">
        <v>600</v>
      </c>
      <c r="D236" s="289">
        <v>600</v>
      </c>
      <c r="E236" s="128"/>
      <c r="O236" s="131"/>
      <c r="P236" s="291">
        <f t="shared" si="43"/>
        <v>0</v>
      </c>
      <c r="Q236" s="128"/>
      <c r="X236" s="287"/>
      <c r="Y236" s="793" t="s">
        <v>2382</v>
      </c>
    </row>
    <row r="237" spans="1:31" x14ac:dyDescent="0.2">
      <c r="C237" s="117">
        <v>700</v>
      </c>
      <c r="D237" s="289">
        <v>700</v>
      </c>
      <c r="E237" s="128"/>
      <c r="O237" s="131"/>
      <c r="P237" s="291">
        <f t="shared" si="43"/>
        <v>0</v>
      </c>
      <c r="Q237" s="128"/>
      <c r="X237" s="287"/>
      <c r="Y237" s="267"/>
    </row>
    <row r="238" spans="1:31" x14ac:dyDescent="0.2">
      <c r="C238" s="117">
        <v>800</v>
      </c>
      <c r="D238" s="289">
        <v>800</v>
      </c>
      <c r="E238" s="235"/>
      <c r="F238" s="285"/>
      <c r="G238" s="285"/>
      <c r="H238" s="285"/>
      <c r="I238" s="285"/>
      <c r="J238" s="285"/>
      <c r="K238" s="285"/>
      <c r="L238" s="285"/>
      <c r="M238" s="285"/>
      <c r="N238" s="285"/>
      <c r="O238" s="286"/>
      <c r="P238" s="291">
        <f t="shared" si="43"/>
        <v>1</v>
      </c>
      <c r="Q238" s="235"/>
      <c r="R238" s="285"/>
      <c r="S238" s="285"/>
      <c r="T238" s="285"/>
      <c r="U238" s="285"/>
      <c r="V238" s="285"/>
      <c r="W238" s="294"/>
      <c r="X238" s="295"/>
      <c r="Y238" s="267"/>
    </row>
    <row r="240" spans="1:31" x14ac:dyDescent="0.2">
      <c r="A240" s="1024" t="s">
        <v>755</v>
      </c>
      <c r="B240" s="1025"/>
      <c r="C240" s="1025"/>
      <c r="D240" s="1026"/>
      <c r="X240" s="280" t="s">
        <v>937</v>
      </c>
    </row>
    <row r="241" spans="24:30" x14ac:dyDescent="0.2">
      <c r="X241" s="280">
        <f>IF(quote24="Plastic",+quote22,0)</f>
        <v>0</v>
      </c>
      <c r="Y241" s="267" t="s">
        <v>1138</v>
      </c>
      <c r="AD241" s="93" t="str">
        <f>IF(quote22&lt;&gt;0,VLOOKUP(quote22,X241:Y242,2,FALSE)&amp;IF(P0Q2&gt;99,".0",".00")&amp;P0Q2," ")</f>
        <v>B60.03.005.0800</v>
      </c>
    </row>
    <row r="242" spans="24:30" x14ac:dyDescent="0.2">
      <c r="X242" s="280">
        <f>IF(quote24="Steel",+quote22,0)</f>
        <v>1</v>
      </c>
      <c r="Y242" s="173" t="s">
        <v>2384</v>
      </c>
      <c r="AC242" s="288" t="s">
        <v>1130</v>
      </c>
      <c r="AD242" s="93">
        <f>+quote22</f>
        <v>1</v>
      </c>
    </row>
  </sheetData>
  <mergeCells count="62">
    <mergeCell ref="P5:S5"/>
    <mergeCell ref="P8:R8"/>
    <mergeCell ref="P7:R7"/>
    <mergeCell ref="P6:R6"/>
    <mergeCell ref="A111:D111"/>
    <mergeCell ref="K6:L6"/>
    <mergeCell ref="K7:L7"/>
    <mergeCell ref="G5:I5"/>
    <mergeCell ref="G7:H7"/>
    <mergeCell ref="A10:D10"/>
    <mergeCell ref="G6:H6"/>
    <mergeCell ref="K5:N5"/>
    <mergeCell ref="P9:R9"/>
    <mergeCell ref="P11:R11"/>
    <mergeCell ref="G12:H12"/>
    <mergeCell ref="AF97:AG97"/>
    <mergeCell ref="AF130:AG130"/>
    <mergeCell ref="Q145:R145"/>
    <mergeCell ref="Q112:R112"/>
    <mergeCell ref="AI157:AJ157"/>
    <mergeCell ref="A161:D161"/>
    <mergeCell ref="A144:D144"/>
    <mergeCell ref="AF26:AG26"/>
    <mergeCell ref="A13:D13"/>
    <mergeCell ref="A12:D12"/>
    <mergeCell ref="A21:D21"/>
    <mergeCell ref="A19:D19"/>
    <mergeCell ref="A18:D18"/>
    <mergeCell ref="A15:D15"/>
    <mergeCell ref="A14:D14"/>
    <mergeCell ref="C145:D145"/>
    <mergeCell ref="K12:L12"/>
    <mergeCell ref="K13:L13"/>
    <mergeCell ref="C26:D26"/>
    <mergeCell ref="G13:H13"/>
    <mergeCell ref="A16:D16"/>
    <mergeCell ref="A1:D1"/>
    <mergeCell ref="A9:D9"/>
    <mergeCell ref="A8:D8"/>
    <mergeCell ref="A7:D7"/>
    <mergeCell ref="A6:D6"/>
    <mergeCell ref="A3:D3"/>
    <mergeCell ref="A2:D2"/>
    <mergeCell ref="A5:E5"/>
    <mergeCell ref="C112:D112"/>
    <mergeCell ref="B130:C130"/>
    <mergeCell ref="D130:E130"/>
    <mergeCell ref="A23:I23"/>
    <mergeCell ref="A25:E25"/>
    <mergeCell ref="C55:D55"/>
    <mergeCell ref="B97:C97"/>
    <mergeCell ref="D97:E97"/>
    <mergeCell ref="A54:D54"/>
    <mergeCell ref="A96:E96"/>
    <mergeCell ref="A129:E129"/>
    <mergeCell ref="C162:D162"/>
    <mergeCell ref="A171:D171"/>
    <mergeCell ref="A186:D186"/>
    <mergeCell ref="C187:D187"/>
    <mergeCell ref="A240:D240"/>
    <mergeCell ref="A213:D213"/>
    <mergeCell ref="C214:D214"/>
  </mergeCells>
  <phoneticPr fontId="7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>
    <tabColor rgb="FFFFC000"/>
    <pageSetUpPr fitToPage="1"/>
  </sheetPr>
  <dimension ref="A3:L56"/>
  <sheetViews>
    <sheetView tabSelected="1" workbookViewId="0">
      <selection activeCell="J24" sqref="J24"/>
    </sheetView>
  </sheetViews>
  <sheetFormatPr defaultColWidth="8.85546875" defaultRowHeight="12.75" x14ac:dyDescent="0.2"/>
  <cols>
    <col min="1" max="1" width="4.28515625" style="146" customWidth="1"/>
    <col min="2" max="2" width="12.7109375" style="146" bestFit="1" customWidth="1"/>
    <col min="3" max="3" width="21.7109375" style="146" bestFit="1" customWidth="1"/>
    <col min="4" max="4" width="9" style="146" customWidth="1"/>
    <col min="5" max="5" width="6.5703125" style="146" bestFit="1" customWidth="1"/>
    <col min="6" max="6" width="12" style="146" bestFit="1" customWidth="1"/>
    <col min="7" max="7" width="7.5703125" style="146" bestFit="1" customWidth="1"/>
    <col min="8" max="8" width="9.5703125" style="146" bestFit="1" customWidth="1"/>
    <col min="9" max="9" width="15.42578125" style="146" bestFit="1" customWidth="1"/>
    <col min="10" max="10" width="11.140625" style="146" customWidth="1"/>
    <col min="11" max="11" width="14.140625" style="146" bestFit="1" customWidth="1"/>
    <col min="12" max="12" width="10.28515625" style="146" customWidth="1"/>
    <col min="13" max="13" width="3.85546875" style="146" customWidth="1"/>
    <col min="14" max="14" width="10.140625" style="146" bestFit="1" customWidth="1"/>
    <col min="15" max="16384" width="8.85546875" style="146"/>
  </cols>
  <sheetData>
    <row r="3" spans="1:12" ht="30" customHeight="1" x14ac:dyDescent="0.4">
      <c r="B3" s="981" t="s">
        <v>210</v>
      </c>
      <c r="C3" s="981"/>
      <c r="D3" s="981"/>
      <c r="E3" s="981"/>
      <c r="F3" s="148"/>
      <c r="G3" s="148"/>
      <c r="H3" s="148"/>
      <c r="I3" s="149"/>
      <c r="J3" s="150"/>
      <c r="K3" s="149"/>
      <c r="L3" s="149"/>
    </row>
    <row r="5" spans="1:12" s="151" customFormat="1" ht="7.5" customHeight="1" x14ac:dyDescent="0.2"/>
    <row r="6" spans="1:12" s="152" customFormat="1" ht="7.5" customHeight="1" x14ac:dyDescent="0.2"/>
    <row r="7" spans="1:12" x14ac:dyDescent="0.2">
      <c r="A7" s="156"/>
    </row>
    <row r="8" spans="1:12" ht="15" x14ac:dyDescent="0.2">
      <c r="A8" s="156"/>
      <c r="B8" s="982" t="s">
        <v>2182</v>
      </c>
      <c r="C8" s="983"/>
      <c r="D8" s="984"/>
      <c r="E8" s="468"/>
      <c r="F8" s="468"/>
      <c r="G8" s="468"/>
      <c r="H8" s="468"/>
      <c r="I8" s="468"/>
      <c r="J8" s="162"/>
      <c r="K8" s="163"/>
      <c r="L8" s="163"/>
    </row>
    <row r="9" spans="1:12" x14ac:dyDescent="0.2">
      <c r="A9" s="156"/>
      <c r="B9" s="162"/>
      <c r="C9" s="162"/>
      <c r="D9" s="162"/>
      <c r="E9" s="162"/>
      <c r="F9" s="162"/>
      <c r="G9" s="162"/>
      <c r="J9" s="162"/>
      <c r="K9" s="162"/>
      <c r="L9" s="162"/>
    </row>
    <row r="10" spans="1:12" ht="15.75" x14ac:dyDescent="0.25">
      <c r="A10" s="156"/>
      <c r="B10" s="168" t="s">
        <v>568</v>
      </c>
      <c r="C10" s="168">
        <f>+p0q1</f>
        <v>3352.8</v>
      </c>
      <c r="D10" s="230">
        <f>+Price_01+Price_02</f>
        <v>733.83999999999992</v>
      </c>
      <c r="F10" s="257" t="s">
        <v>867</v>
      </c>
      <c r="H10" s="1037" t="s">
        <v>836</v>
      </c>
      <c r="I10" s="1037"/>
      <c r="J10" s="254">
        <f>IF(quote77=0,SUM(D10:D28)+SUM(D30:D52),"X")</f>
        <v>5013.3828579577157</v>
      </c>
      <c r="K10" s="162"/>
    </row>
    <row r="11" spans="1:12" x14ac:dyDescent="0.2">
      <c r="A11" s="156"/>
      <c r="B11" s="168" t="s">
        <v>567</v>
      </c>
      <c r="C11" s="168">
        <f>+P0Q2</f>
        <v>800</v>
      </c>
      <c r="F11" s="488">
        <f>+P0Q4</f>
        <v>18.288222384784198</v>
      </c>
      <c r="G11" s="146" t="s">
        <v>505</v>
      </c>
      <c r="H11" s="1038" t="s">
        <v>835</v>
      </c>
      <c r="I11" s="1039"/>
      <c r="J11" s="390">
        <v>3.7999999999999999E-2</v>
      </c>
      <c r="K11" s="162"/>
    </row>
    <row r="12" spans="1:12" ht="15.75" x14ac:dyDescent="0.25">
      <c r="A12" s="156"/>
      <c r="F12" s="488">
        <f>+p0q3</f>
        <v>27.27272727272727</v>
      </c>
      <c r="G12" s="146" t="s">
        <v>311</v>
      </c>
      <c r="H12" s="1038" t="s">
        <v>209</v>
      </c>
      <c r="I12" s="1039"/>
      <c r="J12" s="254">
        <f>ROUNDUP((+J10+(J10*J11)),0)</f>
        <v>5204</v>
      </c>
      <c r="K12" s="162"/>
    </row>
    <row r="13" spans="1:12" x14ac:dyDescent="0.2">
      <c r="A13" s="156"/>
      <c r="B13" s="168" t="s">
        <v>755</v>
      </c>
      <c r="C13" s="228" t="str">
        <f>IF(quote22=0," ",+quote24)</f>
        <v>Steel</v>
      </c>
      <c r="D13" s="230">
        <f>+Price_03</f>
        <v>306.5</v>
      </c>
      <c r="F13" s="258" t="str">
        <f>+P6Q8</f>
        <v>No</v>
      </c>
      <c r="G13" s="146" t="s">
        <v>868</v>
      </c>
      <c r="H13" s="1038" t="s">
        <v>835</v>
      </c>
      <c r="I13" s="1039"/>
      <c r="J13" s="390">
        <v>0.1</v>
      </c>
      <c r="K13" s="162"/>
    </row>
    <row r="14" spans="1:12" ht="15.75" x14ac:dyDescent="0.25">
      <c r="A14" s="156"/>
      <c r="H14" s="1038" t="s">
        <v>253</v>
      </c>
      <c r="I14" s="1039"/>
      <c r="J14" s="254">
        <f>ROUNDUP((+J12+(J12*J13)),0)</f>
        <v>5725</v>
      </c>
    </row>
    <row r="15" spans="1:12" x14ac:dyDescent="0.2">
      <c r="A15" s="156"/>
      <c r="B15" s="229" t="s">
        <v>712</v>
      </c>
      <c r="C15" s="229" t="str">
        <f>+BOM!AD27</f>
        <v>1B.AC8</v>
      </c>
      <c r="D15" s="598">
        <f>IF(ISERROR(VLOOKUP(C15,PartsRange,4,FALSE)),0,VLOOKUP(C15,PartsRange,4,FALSE))</f>
        <v>215</v>
      </c>
      <c r="H15" s="812"/>
      <c r="I15" s="813" t="s">
        <v>2401</v>
      </c>
      <c r="J15" s="390">
        <v>0.08</v>
      </c>
    </row>
    <row r="16" spans="1:12" ht="15.75" x14ac:dyDescent="0.25">
      <c r="A16" s="156"/>
      <c r="B16" s="227" t="s">
        <v>1657</v>
      </c>
      <c r="C16" s="229" t="str">
        <f>+BOM!AD56</f>
        <v>B91.14.350.0800</v>
      </c>
      <c r="D16" s="598">
        <f>IF(ISERROR(VLOOKUP(C16,PartsRange,4,FALSE)),0,VLOOKUP(C16,PartsRange,4,FALSE))</f>
        <v>288</v>
      </c>
      <c r="H16" s="812"/>
      <c r="I16" s="813" t="s">
        <v>2402</v>
      </c>
      <c r="J16" s="254">
        <f>ROUNDUP((+J14+(J14*J15)),0)</f>
        <v>6183</v>
      </c>
    </row>
    <row r="17" spans="1:11" x14ac:dyDescent="0.2">
      <c r="A17" s="156"/>
      <c r="B17" s="227" t="s">
        <v>1656</v>
      </c>
      <c r="C17" s="168" t="str">
        <f>IF(BOM!AD28=0," ",+BOM!AD28)</f>
        <v xml:space="preserve"> </v>
      </c>
      <c r="D17" s="598">
        <f>IF(ISERROR(VLOOKUP(C17,PartsRange,4,FALSE)),0,VLOOKUP(C17,PartsRange,4,FALSE))</f>
        <v>0</v>
      </c>
      <c r="I17" s="813" t="s">
        <v>2401</v>
      </c>
      <c r="J17" s="390">
        <v>0.1</v>
      </c>
    </row>
    <row r="18" spans="1:11" ht="15.75" x14ac:dyDescent="0.25">
      <c r="A18" s="156"/>
      <c r="I18" s="813" t="s">
        <v>2405</v>
      </c>
      <c r="J18" s="254">
        <f>ROUNDUP((+J16+(J16*J17)),0)</f>
        <v>6802</v>
      </c>
    </row>
    <row r="19" spans="1:11" x14ac:dyDescent="0.2">
      <c r="A19" s="156"/>
      <c r="B19" s="168" t="s">
        <v>609</v>
      </c>
      <c r="C19" s="229" t="str">
        <f>+BOM!AD98</f>
        <v>2B.01C</v>
      </c>
      <c r="D19" s="598">
        <f>IF(ISERROR(VLOOKUP(C19,PartsRange,4,FALSE)),0,VLOOKUP(C19,PartsRange,4,FALSE))</f>
        <v>63</v>
      </c>
      <c r="H19" s="1040" t="s">
        <v>1212</v>
      </c>
      <c r="I19" s="1041"/>
      <c r="J19" s="390">
        <v>0.02</v>
      </c>
      <c r="K19" s="412" t="s">
        <v>885</v>
      </c>
    </row>
    <row r="20" spans="1:11" ht="15.75" x14ac:dyDescent="0.25">
      <c r="A20" s="156"/>
      <c r="B20" s="227" t="s">
        <v>1656</v>
      </c>
      <c r="C20" s="168" t="str">
        <f>+BOM!AD113</f>
        <v>B91.54.352.0800</v>
      </c>
      <c r="D20" s="598">
        <f>IF(ISERROR(VLOOKUP(C20,PartsRange,4,FALSE)),0,VLOOKUP(C20,PartsRange,4,FALSE))</f>
        <v>363</v>
      </c>
      <c r="H20" s="153"/>
      <c r="I20" s="399"/>
      <c r="J20" s="254">
        <f>ROUNDUP((+J18*J19),0)</f>
        <v>137</v>
      </c>
    </row>
    <row r="21" spans="1:11" ht="15.75" x14ac:dyDescent="0.25">
      <c r="A21" s="156"/>
      <c r="H21" s="1037" t="s">
        <v>797</v>
      </c>
      <c r="I21" s="1037"/>
      <c r="J21" s="254">
        <f>+J20+J18</f>
        <v>6939</v>
      </c>
      <c r="K21" s="496" t="s">
        <v>2094</v>
      </c>
    </row>
    <row r="22" spans="1:11" x14ac:dyDescent="0.2">
      <c r="A22" s="156"/>
      <c r="B22" s="168" t="s">
        <v>610</v>
      </c>
      <c r="C22" s="168" t="str">
        <f>+BOM!AD131</f>
        <v xml:space="preserve"> </v>
      </c>
      <c r="D22" s="598">
        <f>IF(ISERROR(VLOOKUP(C22,PartsRange,4,FALSE)),0,VLOOKUP(C22,PartsRange,4,FALSE))</f>
        <v>0</v>
      </c>
      <c r="E22" s="162"/>
      <c r="H22" s="1037" t="s">
        <v>861</v>
      </c>
      <c r="I22" s="1037"/>
      <c r="J22" s="657">
        <v>0.42359999999999998</v>
      </c>
    </row>
    <row r="23" spans="1:11" ht="15.75" x14ac:dyDescent="0.25">
      <c r="A23" s="156"/>
      <c r="B23" s="168" t="s">
        <v>1656</v>
      </c>
      <c r="C23" s="168" t="str">
        <f>+BOM!AD146</f>
        <v xml:space="preserve"> </v>
      </c>
      <c r="D23" s="598">
        <f>IF(ISERROR(VLOOKUP(C23,PartsRange,4,FALSE)),0,VLOOKUP(C23,PartsRange,4,FALSE))</f>
        <v>0</v>
      </c>
      <c r="E23" s="162"/>
      <c r="J23" s="254">
        <f>ROUNDUP((J21-(J21*J22)),0)*1.04</f>
        <v>4160</v>
      </c>
      <c r="K23" s="162" t="s">
        <v>2129</v>
      </c>
    </row>
    <row r="24" spans="1:11" ht="15.75" x14ac:dyDescent="0.25">
      <c r="A24" s="156"/>
      <c r="I24" s="162" t="s">
        <v>2095</v>
      </c>
      <c r="J24" s="817">
        <v>1.57</v>
      </c>
      <c r="K24" s="162" t="s">
        <v>2129</v>
      </c>
    </row>
    <row r="25" spans="1:11" x14ac:dyDescent="0.2">
      <c r="A25" s="156"/>
      <c r="B25" s="168" t="s">
        <v>658</v>
      </c>
      <c r="C25" s="168" t="str">
        <f>+quote18</f>
        <v>P31.05.007</v>
      </c>
      <c r="D25" s="230">
        <f>IF(quote18&lt;&gt;0,VLOOKUP(C25,PartsRange,4,FALSE),0)</f>
        <v>577</v>
      </c>
      <c r="I25" s="669" t="s">
        <v>2126</v>
      </c>
      <c r="J25" s="668">
        <f>IF(Option_01="Yes",195,0)*1.06</f>
        <v>0</v>
      </c>
      <c r="K25" s="162" t="s">
        <v>2129</v>
      </c>
    </row>
    <row r="26" spans="1:11" x14ac:dyDescent="0.2">
      <c r="A26" s="156"/>
      <c r="B26" s="168" t="s">
        <v>1964</v>
      </c>
      <c r="C26" s="168" t="str">
        <f>+quote48</f>
        <v>P50.10.001</v>
      </c>
      <c r="D26" s="230">
        <f>IF(quote18&lt;&gt;0,VLOOKUP(C26,PartsRange,4,FALSE),0)</f>
        <v>65</v>
      </c>
      <c r="I26" s="669" t="s">
        <v>2127</v>
      </c>
      <c r="J26" s="668">
        <f>IF(Option_02="Yes",395,0)*1.06</f>
        <v>0</v>
      </c>
    </row>
    <row r="27" spans="1:11" x14ac:dyDescent="0.2">
      <c r="A27" s="156"/>
      <c r="B27" s="168" t="s">
        <v>1037</v>
      </c>
      <c r="C27" s="168">
        <f>+quote49</f>
        <v>0</v>
      </c>
      <c r="D27" s="230">
        <f>IF(quote49&lt;&gt;0,VLOOKUP(C27,PartsRange,4,FALSE),0)</f>
        <v>0</v>
      </c>
      <c r="I27" s="669" t="s">
        <v>2128</v>
      </c>
      <c r="J27" s="668">
        <f>IF(Option_03="Yes",195,0)*1.06</f>
        <v>0</v>
      </c>
    </row>
    <row r="28" spans="1:11" ht="15.75" x14ac:dyDescent="0.25">
      <c r="A28" s="156"/>
      <c r="B28" s="168" t="s">
        <v>971</v>
      </c>
      <c r="C28" s="168">
        <f>+quote50</f>
        <v>0</v>
      </c>
      <c r="D28" s="230">
        <f>IF(quote50&lt;&gt;0,VLOOKUP(C28,PartsRange,4,FALSE),0)</f>
        <v>0</v>
      </c>
      <c r="H28" s="1038" t="s">
        <v>862</v>
      </c>
      <c r="I28" s="1039"/>
      <c r="J28" s="255">
        <f>+J24*J23+J25+J26+J27</f>
        <v>6531.2</v>
      </c>
    </row>
    <row r="29" spans="1:11" x14ac:dyDescent="0.2">
      <c r="A29" s="156"/>
    </row>
    <row r="30" spans="1:11" x14ac:dyDescent="0.2">
      <c r="A30" s="156"/>
      <c r="B30" s="168" t="s">
        <v>679</v>
      </c>
      <c r="C30" s="168" t="str">
        <f>+quote26</f>
        <v>P31.10.147</v>
      </c>
      <c r="D30" s="230">
        <f>IF(quote26&lt;&gt;0,VLOOKUP(C30,PartsRange,4,FALSE),0)</f>
        <v>294</v>
      </c>
    </row>
    <row r="31" spans="1:11" x14ac:dyDescent="0.2">
      <c r="A31" s="156"/>
      <c r="B31" s="168" t="s">
        <v>1452</v>
      </c>
      <c r="C31" s="168">
        <f>+quote82</f>
        <v>0</v>
      </c>
      <c r="D31" s="230">
        <f>IF(quote82&lt;&gt;0,VLOOKUP(C31,PartsRange,4,FALSE),0)</f>
        <v>0</v>
      </c>
    </row>
    <row r="32" spans="1:11" x14ac:dyDescent="0.2">
      <c r="A32" s="156"/>
      <c r="B32" s="168" t="s">
        <v>1453</v>
      </c>
      <c r="C32" s="168">
        <f>+quote83</f>
        <v>0</v>
      </c>
      <c r="D32" s="230">
        <f>IF(quote83&lt;&gt;0,VLOOKUP(C32,PartsRange,4,FALSE),0)</f>
        <v>0</v>
      </c>
    </row>
    <row r="33" spans="1:12" x14ac:dyDescent="0.2">
      <c r="A33" s="156"/>
    </row>
    <row r="34" spans="1:12" x14ac:dyDescent="0.2">
      <c r="A34" s="156"/>
      <c r="B34" s="168" t="s">
        <v>696</v>
      </c>
      <c r="D34" s="230">
        <f>IF(P0Q5&lt;&gt;"N/A",60,0)</f>
        <v>60</v>
      </c>
    </row>
    <row r="35" spans="1:12" x14ac:dyDescent="0.2">
      <c r="A35" s="156"/>
    </row>
    <row r="36" spans="1:12" x14ac:dyDescent="0.2">
      <c r="A36" s="156"/>
      <c r="B36" s="168" t="s">
        <v>1331</v>
      </c>
      <c r="C36" s="168" t="str">
        <f>+quote71</f>
        <v>Bodine</v>
      </c>
      <c r="D36" s="324"/>
      <c r="E36" s="986" t="s">
        <v>866</v>
      </c>
      <c r="F36" s="986"/>
      <c r="K36" s="257"/>
      <c r="L36" s="464" t="s">
        <v>1197</v>
      </c>
    </row>
    <row r="37" spans="1:12" x14ac:dyDescent="0.2">
      <c r="A37" s="156"/>
      <c r="B37" s="168" t="s">
        <v>662</v>
      </c>
      <c r="C37" s="168">
        <f>+quote44</f>
        <v>0.25</v>
      </c>
      <c r="D37" s="324"/>
      <c r="E37" s="257">
        <f>+P12q2</f>
        <v>0.1095398778144054</v>
      </c>
      <c r="F37" s="257" t="str">
        <f>+"1/"&amp;+ROUND((1/E37),0)</f>
        <v>1/9</v>
      </c>
      <c r="K37" s="418"/>
      <c r="L37" s="463">
        <f>+SprocketDZ1</f>
        <v>12</v>
      </c>
    </row>
    <row r="38" spans="1:12" x14ac:dyDescent="0.2">
      <c r="A38" s="156"/>
      <c r="B38" s="168" t="s">
        <v>331</v>
      </c>
      <c r="C38" s="168">
        <f>+quote45</f>
        <v>84</v>
      </c>
      <c r="E38" s="257">
        <f>+P12q1</f>
        <v>111.94849972700983</v>
      </c>
      <c r="F38" s="552"/>
      <c r="H38" s="257" t="s">
        <v>1564</v>
      </c>
      <c r="I38" s="257"/>
      <c r="J38" s="257"/>
      <c r="K38" s="418"/>
      <c r="L38" s="463">
        <f>+SprocketDZ2</f>
        <v>16</v>
      </c>
    </row>
    <row r="39" spans="1:12" x14ac:dyDescent="0.2">
      <c r="A39" s="156"/>
      <c r="B39" s="168" t="s">
        <v>671</v>
      </c>
      <c r="C39" s="168">
        <f>+quote46</f>
        <v>106</v>
      </c>
      <c r="E39" s="551">
        <f>+p12q3</f>
        <v>61.669358292069255</v>
      </c>
      <c r="F39" s="399"/>
      <c r="H39" s="989" t="s">
        <v>1562</v>
      </c>
      <c r="I39" s="989"/>
      <c r="J39" s="418" t="str">
        <f>+SprocketD</f>
        <v>P58.35.012.016</v>
      </c>
    </row>
    <row r="40" spans="1:12" x14ac:dyDescent="0.2">
      <c r="A40" s="156"/>
      <c r="H40" s="989" t="s">
        <v>1563</v>
      </c>
      <c r="I40" s="989"/>
      <c r="J40" s="418" t="str">
        <f>+SprocketM</f>
        <v>P58.35.016</v>
      </c>
      <c r="K40" s="257"/>
    </row>
    <row r="41" spans="1:12" x14ac:dyDescent="0.2">
      <c r="A41" s="156"/>
      <c r="B41" s="168" t="s">
        <v>777</v>
      </c>
      <c r="C41" s="168" t="str">
        <f>+quote13</f>
        <v>55.1</v>
      </c>
      <c r="D41" s="230">
        <f>+Price_06</f>
        <v>329.64000000000004</v>
      </c>
      <c r="K41" s="994" t="s">
        <v>1890</v>
      </c>
    </row>
    <row r="42" spans="1:12" x14ac:dyDescent="0.2">
      <c r="A42" s="156"/>
      <c r="B42" s="168" t="s">
        <v>778</v>
      </c>
      <c r="C42" s="168">
        <f>+quote12</f>
        <v>3</v>
      </c>
      <c r="H42" s="257" t="s">
        <v>1198</v>
      </c>
      <c r="I42" s="257"/>
      <c r="J42" s="257"/>
      <c r="K42" s="995"/>
    </row>
    <row r="43" spans="1:12" x14ac:dyDescent="0.2">
      <c r="A43" s="156"/>
      <c r="B43" s="168" t="s">
        <v>714</v>
      </c>
      <c r="C43" s="168">
        <f>+quote14</f>
        <v>1168.4000000000001</v>
      </c>
      <c r="F43" s="162"/>
      <c r="H43" s="465">
        <f>+(C38/E38)*(L38/L37)*P0Q4</f>
        <v>18.296635614506954</v>
      </c>
      <c r="I43" s="325" t="s">
        <v>505</v>
      </c>
      <c r="J43" s="1042">
        <f>+H43/F11</f>
        <v>1.0004600354012403</v>
      </c>
    </row>
    <row r="44" spans="1:12" x14ac:dyDescent="0.2">
      <c r="B44" s="168" t="s">
        <v>779</v>
      </c>
      <c r="C44" s="512" t="str">
        <f>IF(quote20=0,"N","Y")</f>
        <v>N</v>
      </c>
      <c r="D44" s="230">
        <f>+Price_07</f>
        <v>0</v>
      </c>
      <c r="H44" s="465">
        <f>+H43*3.2808</f>
        <v>60.02760212407442</v>
      </c>
      <c r="I44" s="325" t="s">
        <v>364</v>
      </c>
      <c r="J44" s="1043"/>
      <c r="K44" s="580"/>
    </row>
    <row r="45" spans="1:12" x14ac:dyDescent="0.2">
      <c r="B45" s="227" t="s">
        <v>257</v>
      </c>
      <c r="C45" s="168">
        <f>IF(P10q10="Yes",+quote12*2,0)</f>
        <v>6</v>
      </c>
      <c r="D45" s="230">
        <f>+Price_08</f>
        <v>144</v>
      </c>
      <c r="G45" s="580"/>
      <c r="K45" s="580"/>
    </row>
    <row r="46" spans="1:12" x14ac:dyDescent="0.2">
      <c r="B46" s="168" t="s">
        <v>780</v>
      </c>
      <c r="C46" s="512" t="str">
        <f>IF(quote19=0,"N","Y")</f>
        <v>Y</v>
      </c>
      <c r="D46" s="230">
        <f>IF(quote19&lt;&gt;0,+Price_04+Price_05,0)</f>
        <v>93.323999999999998</v>
      </c>
      <c r="E46" s="162"/>
      <c r="G46" s="580"/>
      <c r="H46" s="580"/>
      <c r="I46" s="580"/>
      <c r="J46" s="580"/>
      <c r="K46" s="580"/>
    </row>
    <row r="47" spans="1:12" x14ac:dyDescent="0.2">
      <c r="E47" s="162"/>
      <c r="G47" s="580"/>
      <c r="H47" s="580"/>
      <c r="I47" s="580"/>
      <c r="J47" s="580"/>
      <c r="K47" s="580"/>
    </row>
    <row r="48" spans="1:12" x14ac:dyDescent="0.2">
      <c r="B48" s="168" t="s">
        <v>641</v>
      </c>
      <c r="C48" s="168" t="s">
        <v>534</v>
      </c>
      <c r="D48" s="230">
        <f>+Price_09</f>
        <v>0</v>
      </c>
      <c r="E48" s="162"/>
      <c r="H48" s="580"/>
      <c r="I48" s="580"/>
      <c r="J48" s="580"/>
    </row>
    <row r="49" spans="2:12" x14ac:dyDescent="0.2">
      <c r="B49" s="168" t="s">
        <v>641</v>
      </c>
      <c r="C49" s="168" t="s">
        <v>535</v>
      </c>
      <c r="D49" s="230">
        <f>+Price_10</f>
        <v>0</v>
      </c>
      <c r="E49" s="162"/>
      <c r="G49" s="814" t="s">
        <v>792</v>
      </c>
      <c r="H49" s="580"/>
      <c r="I49" s="580"/>
      <c r="J49" s="580"/>
    </row>
    <row r="50" spans="2:12" x14ac:dyDescent="0.2">
      <c r="B50" s="168" t="s">
        <v>641</v>
      </c>
      <c r="C50" s="168" t="s">
        <v>2049</v>
      </c>
      <c r="D50" s="230">
        <f>+Price_11</f>
        <v>533.5</v>
      </c>
      <c r="E50" s="162"/>
      <c r="G50" s="484" t="s">
        <v>937</v>
      </c>
      <c r="K50" s="484" t="s">
        <v>751</v>
      </c>
      <c r="L50" s="484" t="s">
        <v>795</v>
      </c>
    </row>
    <row r="51" spans="2:12" x14ac:dyDescent="0.2">
      <c r="E51" s="162"/>
      <c r="G51" s="146">
        <v>1</v>
      </c>
      <c r="H51" s="815"/>
      <c r="I51" s="815"/>
      <c r="J51" s="816"/>
      <c r="K51" s="486">
        <v>1.6</v>
      </c>
      <c r="L51" s="487">
        <f>+K51*J53</f>
        <v>631.71923863847724</v>
      </c>
    </row>
    <row r="52" spans="2:12" x14ac:dyDescent="0.2">
      <c r="B52" s="168" t="s">
        <v>354</v>
      </c>
      <c r="C52" s="168" t="str">
        <f>+P6Q10</f>
        <v>460445</v>
      </c>
      <c r="D52" s="379">
        <f>+Pricing!Q380</f>
        <v>947.57885795771585</v>
      </c>
      <c r="H52" s="484" t="s">
        <v>793</v>
      </c>
      <c r="I52" s="484" t="s">
        <v>794</v>
      </c>
      <c r="J52" s="484" t="s">
        <v>749</v>
      </c>
      <c r="K52" s="484" t="s">
        <v>796</v>
      </c>
    </row>
    <row r="53" spans="2:12" x14ac:dyDescent="0.2">
      <c r="B53" s="325" t="s">
        <v>567</v>
      </c>
      <c r="C53" s="325">
        <f>+quote65</f>
        <v>785</v>
      </c>
      <c r="G53" s="146">
        <v>1</v>
      </c>
      <c r="H53" s="162" t="s">
        <v>354</v>
      </c>
      <c r="I53" s="146" t="str">
        <f>+P6Q10</f>
        <v>460445</v>
      </c>
      <c r="J53" s="485">
        <f>+Belt_Cost</f>
        <v>394.82452414904827</v>
      </c>
      <c r="K53" s="486">
        <v>0.65</v>
      </c>
      <c r="L53" s="487">
        <f>+K53*J55</f>
        <v>375.05</v>
      </c>
    </row>
    <row r="54" spans="2:12" x14ac:dyDescent="0.2">
      <c r="B54" s="325" t="s">
        <v>568</v>
      </c>
      <c r="C54" s="256">
        <f>+quote66</f>
        <v>6765.6</v>
      </c>
      <c r="G54" s="146">
        <v>1</v>
      </c>
      <c r="J54" s="484" t="s">
        <v>750</v>
      </c>
      <c r="L54" s="487">
        <v>60</v>
      </c>
    </row>
    <row r="55" spans="2:12" x14ac:dyDescent="0.2">
      <c r="H55" s="162" t="s">
        <v>658</v>
      </c>
      <c r="I55" s="146" t="str">
        <f>+quote18</f>
        <v>P31.05.007</v>
      </c>
      <c r="J55" s="485">
        <f>VLOOKUP(I55,PartsRange,4,FALSE)</f>
        <v>577</v>
      </c>
    </row>
    <row r="56" spans="2:12" x14ac:dyDescent="0.2">
      <c r="E56" s="162"/>
      <c r="H56" s="162" t="s">
        <v>696</v>
      </c>
    </row>
  </sheetData>
  <mergeCells count="16">
    <mergeCell ref="H28:I28"/>
    <mergeCell ref="E36:F36"/>
    <mergeCell ref="J43:J44"/>
    <mergeCell ref="H40:I40"/>
    <mergeCell ref="K41:K42"/>
    <mergeCell ref="H39:I39"/>
    <mergeCell ref="B3:E3"/>
    <mergeCell ref="H10:I10"/>
    <mergeCell ref="H22:I22"/>
    <mergeCell ref="H21:I21"/>
    <mergeCell ref="H12:I12"/>
    <mergeCell ref="B8:D8"/>
    <mergeCell ref="H14:I14"/>
    <mergeCell ref="H19:I19"/>
    <mergeCell ref="H13:I13"/>
    <mergeCell ref="H11:I11"/>
  </mergeCells>
  <phoneticPr fontId="7" type="noConversion"/>
  <conditionalFormatting sqref="G45:G47 K44:K47 H46:J49">
    <cfRule type="expression" dxfId="0" priority="1" stopIfTrue="1">
      <formula>info8&gt;0.2</formula>
    </cfRule>
  </conditionalFormatting>
  <pageMargins left="0.5" right="0.5" top="0.5" bottom="0.69" header="0" footer="0.43"/>
  <pageSetup scale="69" orientation="portrait" r:id="rId1"/>
  <headerFooter alignWithMargins="0">
    <oddFooter>&amp;L&amp;8&amp;F&amp;R&amp;D &amp;T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0">
    <tabColor indexed="10"/>
  </sheetPr>
  <dimension ref="A1:AD117"/>
  <sheetViews>
    <sheetView topLeftCell="A28" workbookViewId="0">
      <selection activeCell="H55" sqref="H55"/>
    </sheetView>
  </sheetViews>
  <sheetFormatPr defaultColWidth="8.85546875" defaultRowHeight="12.75" x14ac:dyDescent="0.2"/>
  <cols>
    <col min="1" max="1" width="16.42578125" style="111" bestFit="1" customWidth="1"/>
    <col min="2" max="2" width="11.42578125" style="111" bestFit="1" customWidth="1"/>
    <col min="3" max="3" width="7.42578125" style="111" bestFit="1" customWidth="1"/>
    <col min="4" max="4" width="8.5703125" style="111" bestFit="1" customWidth="1"/>
    <col min="5" max="5" width="11.140625" style="111" customWidth="1"/>
    <col min="6" max="6" width="6.28515625" style="111" bestFit="1" customWidth="1"/>
    <col min="7" max="7" width="11.42578125" style="111" bestFit="1" customWidth="1"/>
    <col min="8" max="8" width="11.28515625" style="111" bestFit="1" customWidth="1"/>
    <col min="9" max="9" width="10.140625" style="111" bestFit="1" customWidth="1"/>
    <col min="10" max="10" width="11.7109375" style="273" bestFit="1" customWidth="1"/>
    <col min="11" max="11" width="10.140625" style="111" bestFit="1" customWidth="1"/>
    <col min="12" max="12" width="10.28515625" style="111" bestFit="1" customWidth="1"/>
    <col min="13" max="13" width="9.28515625" style="111" bestFit="1" customWidth="1"/>
    <col min="14" max="14" width="10.140625" style="111" bestFit="1" customWidth="1"/>
    <col min="15" max="15" width="11.28515625" style="111" bestFit="1" customWidth="1"/>
    <col min="16" max="16" width="8.28515625" style="111" bestFit="1" customWidth="1"/>
    <col min="17" max="17" width="10.28515625" style="111" bestFit="1" customWidth="1"/>
    <col min="18" max="18" width="11.28515625" style="111" bestFit="1" customWidth="1"/>
    <col min="19" max="19" width="10.140625" style="111" bestFit="1" customWidth="1"/>
    <col min="20" max="20" width="11.28515625" style="111" bestFit="1" customWidth="1"/>
    <col min="21" max="21" width="10.140625" style="111" bestFit="1" customWidth="1"/>
    <col min="22" max="22" width="3.7109375" style="111" bestFit="1" customWidth="1"/>
    <col min="23" max="23" width="10.140625" style="111" bestFit="1" customWidth="1"/>
    <col min="24" max="24" width="3.7109375" style="111" bestFit="1" customWidth="1"/>
    <col min="25" max="25" width="10.140625" style="111" bestFit="1" customWidth="1"/>
    <col min="26" max="26" width="3.7109375" style="111" bestFit="1" customWidth="1"/>
    <col min="27" max="27" width="10.140625" style="111" bestFit="1" customWidth="1"/>
    <col min="28" max="28" width="3.7109375" style="111" bestFit="1" customWidth="1"/>
    <col min="29" max="29" width="10.140625" style="111" bestFit="1" customWidth="1"/>
    <col min="30" max="16384" width="8.85546875" style="111"/>
  </cols>
  <sheetData>
    <row r="1" spans="1:5" x14ac:dyDescent="0.2">
      <c r="A1" s="39" t="s">
        <v>1100</v>
      </c>
      <c r="B1" s="297"/>
      <c r="C1" s="297"/>
    </row>
    <row r="2" spans="1:5" x14ac:dyDescent="0.2">
      <c r="A2" s="117" t="s">
        <v>568</v>
      </c>
      <c r="B2" s="96">
        <f>+p0q1</f>
        <v>3352.8</v>
      </c>
      <c r="C2" s="117" t="s">
        <v>569</v>
      </c>
    </row>
    <row r="3" spans="1:5" x14ac:dyDescent="0.2">
      <c r="A3" s="117" t="s">
        <v>567</v>
      </c>
      <c r="B3" s="96">
        <f>+P0Q2</f>
        <v>800</v>
      </c>
      <c r="C3" s="117" t="s">
        <v>570</v>
      </c>
    </row>
    <row r="4" spans="1:5" x14ac:dyDescent="0.2">
      <c r="A4" s="117" t="s">
        <v>1096</v>
      </c>
      <c r="B4" s="96" t="str">
        <f>+quote59</f>
        <v>AC</v>
      </c>
      <c r="C4" s="117" t="s">
        <v>1158</v>
      </c>
    </row>
    <row r="6" spans="1:5" x14ac:dyDescent="0.2">
      <c r="A6" s="39" t="s">
        <v>728</v>
      </c>
      <c r="B6" s="297"/>
      <c r="C6" s="297"/>
    </row>
    <row r="7" spans="1:5" x14ac:dyDescent="0.2">
      <c r="A7" s="117" t="s">
        <v>596</v>
      </c>
      <c r="B7" s="96">
        <f>+quote12</f>
        <v>3</v>
      </c>
      <c r="C7" s="265" t="s">
        <v>651</v>
      </c>
    </row>
    <row r="8" spans="1:5" x14ac:dyDescent="0.2">
      <c r="A8" s="117" t="s">
        <v>638</v>
      </c>
      <c r="B8" s="96" t="str">
        <f>+quote13</f>
        <v>55.1</v>
      </c>
      <c r="C8" s="265" t="s">
        <v>652</v>
      </c>
    </row>
    <row r="9" spans="1:5" x14ac:dyDescent="0.2">
      <c r="A9" s="117" t="s">
        <v>653</v>
      </c>
      <c r="B9" s="96">
        <f>+quote14</f>
        <v>1168.4000000000001</v>
      </c>
      <c r="C9" s="265" t="s">
        <v>654</v>
      </c>
    </row>
    <row r="10" spans="1:5" x14ac:dyDescent="0.2">
      <c r="A10" s="117" t="s">
        <v>731</v>
      </c>
      <c r="B10" s="96">
        <f>+quote19</f>
        <v>3</v>
      </c>
      <c r="C10" s="265" t="s">
        <v>732</v>
      </c>
    </row>
    <row r="11" spans="1:5" x14ac:dyDescent="0.2">
      <c r="A11" s="117" t="s">
        <v>734</v>
      </c>
      <c r="B11" s="96">
        <f>+quote20</f>
        <v>0</v>
      </c>
      <c r="C11" s="265" t="s">
        <v>735</v>
      </c>
    </row>
    <row r="12" spans="1:5" x14ac:dyDescent="0.2">
      <c r="A12" s="117" t="s">
        <v>968</v>
      </c>
      <c r="B12" s="96">
        <v>0</v>
      </c>
      <c r="C12" s="265" t="s">
        <v>566</v>
      </c>
    </row>
    <row r="13" spans="1:5" x14ac:dyDescent="0.2">
      <c r="A13" s="297"/>
      <c r="B13" s="298"/>
      <c r="C13" s="298"/>
    </row>
    <row r="14" spans="1:5" x14ac:dyDescent="0.2">
      <c r="A14" s="39" t="s">
        <v>731</v>
      </c>
    </row>
    <row r="15" spans="1:5" x14ac:dyDescent="0.2">
      <c r="D15" s="117" t="s">
        <v>731</v>
      </c>
    </row>
    <row r="16" spans="1:5" x14ac:dyDescent="0.2">
      <c r="D16" s="117" t="s">
        <v>717</v>
      </c>
      <c r="E16" s="299" t="s">
        <v>1253</v>
      </c>
    </row>
    <row r="17" spans="1:10" x14ac:dyDescent="0.2">
      <c r="D17" s="117" t="s">
        <v>568</v>
      </c>
      <c r="E17" s="299">
        <f>+p0q1-250</f>
        <v>3102.8</v>
      </c>
    </row>
    <row r="18" spans="1:10" x14ac:dyDescent="0.2">
      <c r="D18" s="117" t="s">
        <v>1232</v>
      </c>
      <c r="E18" s="93" t="s">
        <v>1267</v>
      </c>
    </row>
    <row r="19" spans="1:10" x14ac:dyDescent="0.2">
      <c r="D19" s="117" t="s">
        <v>1269</v>
      </c>
      <c r="E19" s="93" t="s">
        <v>1270</v>
      </c>
    </row>
    <row r="20" spans="1:10" x14ac:dyDescent="0.2">
      <c r="D20" s="117" t="s">
        <v>1245</v>
      </c>
      <c r="E20" s="93" t="s">
        <v>1268</v>
      </c>
    </row>
    <row r="21" spans="1:10" x14ac:dyDescent="0.2">
      <c r="D21" s="117" t="s">
        <v>596</v>
      </c>
      <c r="E21" s="93">
        <f>+quote19</f>
        <v>3</v>
      </c>
    </row>
    <row r="29" spans="1:10" x14ac:dyDescent="0.2">
      <c r="A29" s="956" t="s">
        <v>1225</v>
      </c>
      <c r="B29" s="957"/>
    </row>
    <row r="31" spans="1:10" x14ac:dyDescent="0.2">
      <c r="A31" s="173">
        <f>IF(quote19&lt;&gt;0,1,0)</f>
        <v>1</v>
      </c>
      <c r="B31" s="50" t="str">
        <f>+E16</f>
        <v>54.40.</v>
      </c>
      <c r="C31" s="50">
        <f>+E17</f>
        <v>3102.8</v>
      </c>
      <c r="I31" s="953" t="s">
        <v>731</v>
      </c>
      <c r="J31" s="1050"/>
    </row>
    <row r="32" spans="1:10" x14ac:dyDescent="0.2">
      <c r="A32" s="173">
        <f>IF(quote19&lt;&gt;0,+E21,0)</f>
        <v>3</v>
      </c>
      <c r="B32" s="50" t="str">
        <f>+E20</f>
        <v>82.40.0747</v>
      </c>
      <c r="I32" s="128"/>
      <c r="J32" s="131"/>
    </row>
    <row r="33" spans="1:30" x14ac:dyDescent="0.2">
      <c r="A33" s="173">
        <f>IF(quote19&lt;&gt;0,2,0)</f>
        <v>2</v>
      </c>
      <c r="B33" s="50" t="str">
        <f>+E18</f>
        <v>MK 2507</v>
      </c>
      <c r="I33" s="128"/>
      <c r="J33" s="131"/>
    </row>
    <row r="34" spans="1:30" x14ac:dyDescent="0.2">
      <c r="A34" s="173">
        <f>IF(AND(quote19&lt;&gt;0,E17&gt;5100),1,0)</f>
        <v>0</v>
      </c>
      <c r="B34" s="50" t="str">
        <f>+E19</f>
        <v>50.05.0047</v>
      </c>
      <c r="E34" s="173">
        <f>IF(AND(quote19&lt;&gt;0,E17&gt;5100),"34.01.0006",0)</f>
        <v>0</v>
      </c>
      <c r="F34" s="173">
        <f>IF(AND(quote19&lt;&gt;0,E17&gt;5100),1,0)</f>
        <v>0</v>
      </c>
      <c r="I34" s="235"/>
      <c r="J34" s="286"/>
    </row>
    <row r="38" spans="1:30" x14ac:dyDescent="0.2">
      <c r="A38" s="39" t="s">
        <v>553</v>
      </c>
      <c r="F38" s="1051" t="s">
        <v>1291</v>
      </c>
      <c r="G38" s="1052"/>
      <c r="H38" s="1052"/>
      <c r="I38" s="1053"/>
      <c r="J38" s="1051" t="s">
        <v>1292</v>
      </c>
      <c r="K38" s="1052"/>
      <c r="L38" s="1052"/>
      <c r="M38" s="1052"/>
      <c r="N38" s="1053"/>
      <c r="O38" s="955" t="s">
        <v>1282</v>
      </c>
      <c r="P38" s="955"/>
      <c r="Q38" s="955" t="s">
        <v>1278</v>
      </c>
      <c r="R38" s="955"/>
      <c r="S38" s="955" t="s">
        <v>1298</v>
      </c>
      <c r="T38" s="955"/>
      <c r="U38" s="1051" t="s">
        <v>1118</v>
      </c>
      <c r="V38" s="1052"/>
      <c r="W38" s="1052"/>
      <c r="X38" s="1052"/>
      <c r="Y38" s="955" t="s">
        <v>736</v>
      </c>
      <c r="Z38" s="955"/>
      <c r="AA38" s="955"/>
      <c r="AB38" s="955"/>
      <c r="AC38" s="955" t="s">
        <v>941</v>
      </c>
      <c r="AD38" s="955"/>
    </row>
    <row r="39" spans="1:30" x14ac:dyDescent="0.2">
      <c r="A39" s="313" t="s">
        <v>552</v>
      </c>
      <c r="B39" s="304" t="s">
        <v>1272</v>
      </c>
      <c r="D39" s="96" t="s">
        <v>787</v>
      </c>
      <c r="E39" s="93" t="s">
        <v>638</v>
      </c>
      <c r="F39" s="307" t="s">
        <v>717</v>
      </c>
      <c r="G39" s="307" t="s">
        <v>1130</v>
      </c>
      <c r="H39" s="50" t="s">
        <v>1243</v>
      </c>
      <c r="I39" s="50" t="s">
        <v>568</v>
      </c>
      <c r="J39" s="307" t="s">
        <v>717</v>
      </c>
      <c r="K39" s="307" t="s">
        <v>1130</v>
      </c>
      <c r="L39" s="50" t="s">
        <v>568</v>
      </c>
      <c r="M39" s="50" t="s">
        <v>941</v>
      </c>
      <c r="N39" s="50" t="s">
        <v>937</v>
      </c>
      <c r="O39" s="50" t="s">
        <v>938</v>
      </c>
      <c r="P39" s="50" t="s">
        <v>937</v>
      </c>
      <c r="Q39" s="317" t="s">
        <v>938</v>
      </c>
      <c r="R39" s="50" t="s">
        <v>937</v>
      </c>
      <c r="S39" s="50" t="s">
        <v>938</v>
      </c>
      <c r="T39" s="50" t="s">
        <v>937</v>
      </c>
      <c r="U39" s="50" t="s">
        <v>938</v>
      </c>
      <c r="V39" s="50" t="s">
        <v>937</v>
      </c>
      <c r="W39" s="50" t="s">
        <v>938</v>
      </c>
      <c r="X39" s="50" t="s">
        <v>937</v>
      </c>
      <c r="Y39" s="318" t="s">
        <v>938</v>
      </c>
      <c r="Z39" s="318" t="s">
        <v>937</v>
      </c>
      <c r="AA39" s="50" t="s">
        <v>941</v>
      </c>
      <c r="AB39" s="50" t="s">
        <v>937</v>
      </c>
      <c r="AC39" s="50" t="s">
        <v>941</v>
      </c>
      <c r="AD39" s="50" t="s">
        <v>937</v>
      </c>
    </row>
    <row r="40" spans="1:30" x14ac:dyDescent="0.2">
      <c r="A40" s="313" t="s">
        <v>546</v>
      </c>
      <c r="B40" s="304" t="s">
        <v>1275</v>
      </c>
      <c r="D40" s="96">
        <f>IF(quote13=E40,1,0)</f>
        <v>0</v>
      </c>
      <c r="E40" s="299" t="s">
        <v>552</v>
      </c>
      <c r="F40" s="314" t="s">
        <v>1112</v>
      </c>
      <c r="G40" s="117">
        <v>1</v>
      </c>
      <c r="H40" s="315" t="s">
        <v>1274</v>
      </c>
      <c r="I40" s="117">
        <f>quote14-200</f>
        <v>968.40000000000009</v>
      </c>
      <c r="J40" s="117" t="str">
        <f>"5101CC0"&amp;IF(P0Q2&lt;100,"0",)&amp;P0Q2</f>
        <v>5101CC0800</v>
      </c>
      <c r="K40" s="117">
        <v>1</v>
      </c>
      <c r="L40" s="117"/>
      <c r="M40" s="117" t="s">
        <v>1293</v>
      </c>
      <c r="N40" s="117">
        <v>2</v>
      </c>
      <c r="O40" s="117" t="s">
        <v>1277</v>
      </c>
      <c r="P40" s="117">
        <v>1</v>
      </c>
      <c r="Q40" s="316" t="s">
        <v>1279</v>
      </c>
      <c r="R40" s="117">
        <v>2</v>
      </c>
      <c r="S40" s="117" t="s">
        <v>1280</v>
      </c>
      <c r="T40" s="117">
        <v>2</v>
      </c>
      <c r="U40" s="117"/>
      <c r="V40" s="117"/>
      <c r="W40" s="117"/>
      <c r="X40" s="117"/>
      <c r="Y40" s="117"/>
      <c r="Z40" s="117"/>
      <c r="AA40" s="117"/>
      <c r="AB40" s="117"/>
      <c r="AC40" s="117" t="s">
        <v>1281</v>
      </c>
      <c r="AD40" s="117">
        <v>2</v>
      </c>
    </row>
    <row r="41" spans="1:30" x14ac:dyDescent="0.2">
      <c r="A41" s="304" t="s">
        <v>655</v>
      </c>
      <c r="B41" s="304" t="str">
        <f>+P10q10</f>
        <v>Yes</v>
      </c>
      <c r="D41" s="96">
        <f>IF(quote13=E41,1,0)</f>
        <v>1</v>
      </c>
      <c r="E41" s="299" t="s">
        <v>546</v>
      </c>
      <c r="F41" s="50" t="s">
        <v>1273</v>
      </c>
      <c r="G41" s="117">
        <v>2</v>
      </c>
      <c r="H41" s="315" t="s">
        <v>1276</v>
      </c>
      <c r="I41" s="117">
        <f>IF(B41&lt;&gt;"Yes",+quote14-65,+quote14-143)</f>
        <v>1025.4000000000001</v>
      </c>
      <c r="J41" s="117" t="s">
        <v>1253</v>
      </c>
      <c r="K41" s="93">
        <f>IF(quote14&gt;1000,2,1)</f>
        <v>2</v>
      </c>
      <c r="L41" s="117">
        <f>+P0Q2</f>
        <v>800</v>
      </c>
      <c r="M41" s="117"/>
      <c r="N41" s="117"/>
      <c r="O41" s="117" t="s">
        <v>1283</v>
      </c>
      <c r="P41" s="117">
        <v>2</v>
      </c>
      <c r="Q41" s="316" t="s">
        <v>1284</v>
      </c>
      <c r="R41" s="117">
        <v>2</v>
      </c>
      <c r="S41" s="117" t="s">
        <v>1285</v>
      </c>
      <c r="T41" s="117">
        <v>4</v>
      </c>
      <c r="U41" s="117" t="s">
        <v>1286</v>
      </c>
      <c r="V41" s="117">
        <f>2*K41</f>
        <v>4</v>
      </c>
      <c r="W41" s="117" t="s">
        <v>1267</v>
      </c>
      <c r="X41" s="117">
        <v>2</v>
      </c>
      <c r="Y41" s="117" t="s">
        <v>1287</v>
      </c>
      <c r="Z41" s="117">
        <v>2</v>
      </c>
      <c r="AA41" s="117" t="s">
        <v>1310</v>
      </c>
      <c r="AB41" s="117">
        <v>2</v>
      </c>
      <c r="AC41" s="117"/>
      <c r="AD41" s="117">
        <v>0</v>
      </c>
    </row>
    <row r="42" spans="1:30" x14ac:dyDescent="0.2">
      <c r="F42" s="122">
        <v>3</v>
      </c>
      <c r="G42" s="122">
        <v>4</v>
      </c>
      <c r="H42" s="122">
        <v>5</v>
      </c>
      <c r="I42" s="122">
        <v>6</v>
      </c>
      <c r="J42" s="122">
        <v>7</v>
      </c>
      <c r="K42" s="122">
        <v>8</v>
      </c>
      <c r="L42" s="122">
        <v>9</v>
      </c>
      <c r="M42" s="122">
        <v>10</v>
      </c>
      <c r="N42" s="122">
        <v>11</v>
      </c>
      <c r="O42" s="122">
        <v>12</v>
      </c>
      <c r="P42" s="122">
        <v>13</v>
      </c>
      <c r="Q42" s="122">
        <v>14</v>
      </c>
      <c r="R42" s="122">
        <v>15</v>
      </c>
      <c r="S42" s="122">
        <v>16</v>
      </c>
      <c r="T42" s="122">
        <v>17</v>
      </c>
      <c r="U42" s="122">
        <v>18</v>
      </c>
      <c r="V42" s="122">
        <v>19</v>
      </c>
      <c r="W42" s="122">
        <v>20</v>
      </c>
      <c r="X42" s="122">
        <v>21</v>
      </c>
      <c r="Y42" s="122">
        <v>22</v>
      </c>
      <c r="Z42" s="122">
        <v>23</v>
      </c>
      <c r="AA42" s="122">
        <v>24</v>
      </c>
      <c r="AB42" s="122">
        <v>25</v>
      </c>
      <c r="AC42" s="122">
        <v>26</v>
      </c>
      <c r="AD42" s="122">
        <v>27</v>
      </c>
    </row>
    <row r="44" spans="1:30" x14ac:dyDescent="0.2">
      <c r="D44" s="288" t="s">
        <v>1130</v>
      </c>
      <c r="E44" s="93">
        <f>IF(SUM(D40:D41)=1,+quote12,0)</f>
        <v>3</v>
      </c>
    </row>
    <row r="46" spans="1:30" x14ac:dyDescent="0.2">
      <c r="D46" s="236" t="s">
        <v>717</v>
      </c>
      <c r="E46" s="117" t="str">
        <f>VLOOKUP(1,$D$40:$P$41,3,FALSE)</f>
        <v>54.01.</v>
      </c>
    </row>
    <row r="47" spans="1:30" x14ac:dyDescent="0.2">
      <c r="D47" s="117" t="s">
        <v>1130</v>
      </c>
      <c r="E47" s="117">
        <f>VLOOKUP(1,$D$40:$AD$41,4,FALSE)*quote12</f>
        <v>6</v>
      </c>
    </row>
    <row r="48" spans="1:30" x14ac:dyDescent="0.2">
      <c r="D48" s="117" t="s">
        <v>1243</v>
      </c>
      <c r="E48" s="117" t="str">
        <f>VLOOKUP(1,$D$40:$AD$41,5,FALSE)</f>
        <v>5401AA</v>
      </c>
    </row>
    <row r="49" spans="4:7" x14ac:dyDescent="0.2">
      <c r="D49" s="117" t="s">
        <v>568</v>
      </c>
      <c r="E49" s="117">
        <f>VLOOKUP(1,$D$40:$AD$41,6,FALSE)</f>
        <v>1025.4000000000001</v>
      </c>
    </row>
    <row r="50" spans="4:7" x14ac:dyDescent="0.2">
      <c r="D50" s="236" t="s">
        <v>1288</v>
      </c>
      <c r="E50" s="117" t="str">
        <f>VLOOKUP(1,$D$40:$AD$41,7,FALSE)</f>
        <v>54.40.</v>
      </c>
      <c r="F50" s="236" t="s">
        <v>1290</v>
      </c>
      <c r="G50" s="117">
        <f>VLOOKUP(1,$D$40:$AD$41,10,FALSE)</f>
        <v>0</v>
      </c>
    </row>
    <row r="51" spans="4:7" x14ac:dyDescent="0.2">
      <c r="D51" s="117" t="s">
        <v>1130</v>
      </c>
      <c r="E51" s="117">
        <f>VLOOKUP(1,$D$40:$AD$41,8,FALSE)*quote12</f>
        <v>6</v>
      </c>
      <c r="F51" s="117" t="s">
        <v>1130</v>
      </c>
      <c r="G51" s="117">
        <f>VLOOKUP(1,$D$40:$AD$41,11,FALSE)*quote12</f>
        <v>0</v>
      </c>
    </row>
    <row r="52" spans="4:7" x14ac:dyDescent="0.2">
      <c r="D52" s="117" t="s">
        <v>568</v>
      </c>
      <c r="E52" s="117">
        <f>VLOOKUP(1,$D$40:$AD$41,9,FALSE)</f>
        <v>800</v>
      </c>
    </row>
    <row r="53" spans="4:7" x14ac:dyDescent="0.2">
      <c r="D53" s="236" t="s">
        <v>836</v>
      </c>
      <c r="E53" s="117" t="str">
        <f>VLOOKUP(1,$D$40:$AD$41,12,FALSE)</f>
        <v>76.01.0008</v>
      </c>
    </row>
    <row r="54" spans="4:7" x14ac:dyDescent="0.2">
      <c r="D54" s="117" t="s">
        <v>1130</v>
      </c>
      <c r="E54" s="117">
        <f>VLOOKUP(1,$D$40:$AD$41,13,FALSE)*quote12</f>
        <v>6</v>
      </c>
    </row>
    <row r="55" spans="4:7" x14ac:dyDescent="0.2">
      <c r="D55" s="236" t="s">
        <v>553</v>
      </c>
      <c r="E55" s="117" t="str">
        <f>VLOOKUP(1,$D$40:$AD$41,14,FALSE)</f>
        <v>B67.02.075</v>
      </c>
    </row>
    <row r="56" spans="4:7" x14ac:dyDescent="0.2">
      <c r="D56" s="117" t="s">
        <v>1130</v>
      </c>
      <c r="E56" s="117">
        <f>VLOOKUP(1,$D$40:$AD$41,15,FALSE)*quote12</f>
        <v>6</v>
      </c>
    </row>
    <row r="57" spans="4:7" x14ac:dyDescent="0.2">
      <c r="D57" s="236" t="s">
        <v>1251</v>
      </c>
      <c r="E57" s="117" t="str">
        <f>VLOOKUP(1,$D$40:$AD$41,16,FALSE)</f>
        <v>82.40.0702</v>
      </c>
      <c r="F57" s="236" t="s">
        <v>1290</v>
      </c>
      <c r="G57" s="117">
        <f>VLOOKUP(1,$D$40:$AD$41,26,FALSE)</f>
        <v>0</v>
      </c>
    </row>
    <row r="58" spans="4:7" x14ac:dyDescent="0.2">
      <c r="D58" s="117" t="s">
        <v>1130</v>
      </c>
      <c r="E58" s="117">
        <f>VLOOKUP(1,$D$40:$AD$41,17,FALSE)*quote12</f>
        <v>12</v>
      </c>
      <c r="F58" s="117" t="s">
        <v>1130</v>
      </c>
      <c r="G58" s="117">
        <f>VLOOKUP(1,$D$40:$AD$41,27,FALSE)*quote12</f>
        <v>0</v>
      </c>
    </row>
    <row r="59" spans="4:7" x14ac:dyDescent="0.2">
      <c r="D59" s="236" t="s">
        <v>1118</v>
      </c>
      <c r="E59" s="117" t="str">
        <f>VLOOKUP(1,$D$40:$AD$41,18,FALSE)</f>
        <v>82.40.0741</v>
      </c>
    </row>
    <row r="60" spans="4:7" x14ac:dyDescent="0.2">
      <c r="D60" s="117" t="s">
        <v>1130</v>
      </c>
      <c r="E60" s="117">
        <f>VLOOKUP(1,$D$40:$AD$41,19,FALSE)*quote12</f>
        <v>12</v>
      </c>
    </row>
    <row r="61" spans="4:7" x14ac:dyDescent="0.2">
      <c r="D61" s="236" t="s">
        <v>1118</v>
      </c>
      <c r="E61" s="117" t="str">
        <f>VLOOKUP(1,$D$40:$AD$41,20,FALSE)</f>
        <v>MK 2507</v>
      </c>
    </row>
    <row r="62" spans="4:7" x14ac:dyDescent="0.2">
      <c r="D62" s="117" t="s">
        <v>1130</v>
      </c>
      <c r="E62" s="117">
        <f>VLOOKUP(1,$D$40:$AD$41,21,FALSE)*quote12</f>
        <v>6</v>
      </c>
    </row>
    <row r="63" spans="4:7" x14ac:dyDescent="0.2">
      <c r="D63" s="236" t="s">
        <v>1289</v>
      </c>
      <c r="E63" s="117" t="str">
        <f>VLOOKUP(1,$D$40:$AD$41,22,FALSE)</f>
        <v>26.00.0006</v>
      </c>
      <c r="F63" s="236" t="s">
        <v>1290</v>
      </c>
      <c r="G63" s="117" t="str">
        <f>VLOOKUP(1,$D$40:$AD$41,24,FALSE)</f>
        <v>34.01.0003</v>
      </c>
    </row>
    <row r="64" spans="4:7" x14ac:dyDescent="0.2">
      <c r="D64" s="117" t="s">
        <v>1130</v>
      </c>
      <c r="E64" s="117">
        <f>VLOOKUP(1,$D$40:$AD$41,23,FALSE)*quote12</f>
        <v>6</v>
      </c>
      <c r="F64" s="117" t="s">
        <v>1130</v>
      </c>
      <c r="G64" s="117">
        <f>VLOOKUP(1,$D$40:$AD$41,25,FALSE)*quote12</f>
        <v>6</v>
      </c>
    </row>
    <row r="66" spans="1:14" x14ac:dyDescent="0.2">
      <c r="A66" s="268" t="s">
        <v>937</v>
      </c>
      <c r="B66" s="268" t="s">
        <v>1226</v>
      </c>
      <c r="C66" s="268" t="s">
        <v>568</v>
      </c>
      <c r="D66" s="268" t="s">
        <v>1243</v>
      </c>
      <c r="E66" s="268" t="s">
        <v>941</v>
      </c>
      <c r="F66" s="268" t="s">
        <v>937</v>
      </c>
      <c r="G66" s="1023" t="s">
        <v>1271</v>
      </c>
      <c r="H66" s="1023"/>
      <c r="I66" s="960" t="s">
        <v>1230</v>
      </c>
      <c r="J66" s="960"/>
    </row>
    <row r="67" spans="1:14" x14ac:dyDescent="0.2">
      <c r="A67" s="50">
        <f>IF(E44=0,0,+E47)</f>
        <v>6</v>
      </c>
      <c r="B67" s="50" t="str">
        <f>+E46</f>
        <v>54.01.</v>
      </c>
      <c r="C67" s="50">
        <f>+E49</f>
        <v>1025.4000000000001</v>
      </c>
      <c r="D67" s="96" t="str">
        <f>IF(A67=0," ",+E48)</f>
        <v>5401AA</v>
      </c>
      <c r="E67" s="117"/>
      <c r="F67" s="117"/>
      <c r="G67" s="945" t="str">
        <f>IF(D67&lt;&gt;0,"Requires Service"," ")</f>
        <v>Requires Service</v>
      </c>
      <c r="H67" s="945"/>
      <c r="I67" s="943" t="s">
        <v>782</v>
      </c>
      <c r="J67" s="943"/>
    </row>
    <row r="68" spans="1:14" x14ac:dyDescent="0.2">
      <c r="A68" s="50">
        <f>IF(E44=0,0,+E51)</f>
        <v>6</v>
      </c>
      <c r="B68" s="50" t="str">
        <f>+E50</f>
        <v>54.40.</v>
      </c>
      <c r="C68" s="50">
        <f>+E52</f>
        <v>800</v>
      </c>
      <c r="D68" s="117"/>
      <c r="E68" s="50">
        <f>+G50</f>
        <v>0</v>
      </c>
      <c r="F68" s="50">
        <f>IF(E44=0,0,+G51)</f>
        <v>0</v>
      </c>
      <c r="G68" s="1045"/>
      <c r="H68" s="1046"/>
      <c r="I68" s="943" t="s">
        <v>1294</v>
      </c>
      <c r="J68" s="943"/>
    </row>
    <row r="69" spans="1:14" x14ac:dyDescent="0.2">
      <c r="A69" s="50">
        <f>IF(E44=0,0,+E54)</f>
        <v>6</v>
      </c>
      <c r="B69" s="50" t="str">
        <f>+E53</f>
        <v>76.01.0008</v>
      </c>
      <c r="C69" s="117"/>
      <c r="D69" s="117"/>
      <c r="E69" s="117"/>
      <c r="F69" s="117"/>
      <c r="G69" s="1045"/>
      <c r="H69" s="1046"/>
      <c r="I69" s="943" t="s">
        <v>1282</v>
      </c>
      <c r="J69" s="943"/>
    </row>
    <row r="70" spans="1:14" x14ac:dyDescent="0.2">
      <c r="A70" s="50">
        <f>IF(E44=0,0,+E56)</f>
        <v>6</v>
      </c>
      <c r="B70" s="50" t="str">
        <f>IF(AND(E55="B67.02.075",P10q10="Yes"),"K106000142",+E55)</f>
        <v>K106000142</v>
      </c>
      <c r="C70" s="117"/>
      <c r="D70" s="117"/>
      <c r="E70" s="117"/>
      <c r="F70" s="117"/>
      <c r="G70" s="1045"/>
      <c r="H70" s="1046"/>
      <c r="I70" s="943" t="s">
        <v>553</v>
      </c>
      <c r="J70" s="943"/>
    </row>
    <row r="71" spans="1:14" x14ac:dyDescent="0.2">
      <c r="A71" s="50">
        <f>IF(E44=0,0,+E58)</f>
        <v>12</v>
      </c>
      <c r="B71" s="50" t="str">
        <f>+E57</f>
        <v>82.40.0702</v>
      </c>
      <c r="C71" s="117"/>
      <c r="D71" s="117"/>
      <c r="E71" s="50">
        <f>+G57</f>
        <v>0</v>
      </c>
      <c r="F71" s="50">
        <f>IF(E44=0,0,+G58)</f>
        <v>0</v>
      </c>
      <c r="G71" s="1045"/>
      <c r="H71" s="1046"/>
      <c r="I71" s="943" t="s">
        <v>1297</v>
      </c>
      <c r="J71" s="943"/>
    </row>
    <row r="72" spans="1:14" x14ac:dyDescent="0.2">
      <c r="A72" s="50">
        <f>IF(E44=0,0,+E60)</f>
        <v>12</v>
      </c>
      <c r="B72" s="50" t="str">
        <f>+E59</f>
        <v>82.40.0741</v>
      </c>
      <c r="C72" s="117"/>
      <c r="D72" s="117"/>
      <c r="E72" s="117"/>
      <c r="F72" s="117"/>
      <c r="G72" s="1045"/>
      <c r="H72" s="1046"/>
      <c r="I72" s="943" t="s">
        <v>1295</v>
      </c>
      <c r="J72" s="943"/>
    </row>
    <row r="73" spans="1:14" x14ac:dyDescent="0.2">
      <c r="A73" s="50">
        <f>IF(E44=0,0,+E62)</f>
        <v>6</v>
      </c>
      <c r="B73" s="50" t="str">
        <f>+E61</f>
        <v>MK 2507</v>
      </c>
      <c r="C73" s="117"/>
      <c r="D73" s="117"/>
      <c r="E73" s="117"/>
      <c r="F73" s="117"/>
      <c r="G73" s="1045"/>
      <c r="H73" s="1046"/>
      <c r="I73" s="943" t="s">
        <v>1296</v>
      </c>
      <c r="J73" s="943"/>
    </row>
    <row r="75" spans="1:14" x14ac:dyDescent="0.2">
      <c r="A75" s="50">
        <f>IF(OR(P10q9="No",E44=0),0,+E64)</f>
        <v>0</v>
      </c>
      <c r="B75" s="50" t="str">
        <f>+E63</f>
        <v>26.00.0006</v>
      </c>
      <c r="E75" s="50" t="str">
        <f>+G63</f>
        <v>34.01.0003</v>
      </c>
      <c r="F75" s="50">
        <f>IF(OR(P10q9="No",E44=0),0,+G64)</f>
        <v>0</v>
      </c>
      <c r="I75" s="950" t="s">
        <v>736</v>
      </c>
      <c r="J75" s="1049"/>
    </row>
    <row r="78" spans="1:14" x14ac:dyDescent="0.2">
      <c r="A78" s="39" t="s">
        <v>554</v>
      </c>
      <c r="C78" s="96" t="s">
        <v>1318</v>
      </c>
    </row>
    <row r="79" spans="1:14" x14ac:dyDescent="0.2">
      <c r="A79" s="320" t="s">
        <v>565</v>
      </c>
      <c r="B79" s="321" t="s">
        <v>1305</v>
      </c>
      <c r="C79" s="96">
        <v>1</v>
      </c>
      <c r="F79" s="96" t="s">
        <v>1306</v>
      </c>
      <c r="M79" s="1044" t="s">
        <v>1317</v>
      </c>
      <c r="N79" s="1044"/>
    </row>
    <row r="80" spans="1:14" x14ac:dyDescent="0.2">
      <c r="A80" s="313" t="s">
        <v>559</v>
      </c>
      <c r="B80" s="304" t="s">
        <v>1299</v>
      </c>
      <c r="C80" s="96">
        <v>2</v>
      </c>
      <c r="F80" s="319" t="s">
        <v>559</v>
      </c>
      <c r="M80" s="1047" t="s">
        <v>1329</v>
      </c>
      <c r="N80" s="1048"/>
    </row>
    <row r="81" spans="1:14" x14ac:dyDescent="0.2">
      <c r="A81" s="313" t="s">
        <v>560</v>
      </c>
      <c r="B81" s="304" t="s">
        <v>1300</v>
      </c>
      <c r="C81" s="96">
        <v>3</v>
      </c>
    </row>
    <row r="82" spans="1:14" x14ac:dyDescent="0.2">
      <c r="A82" s="313" t="s">
        <v>561</v>
      </c>
      <c r="B82" s="304" t="s">
        <v>1301</v>
      </c>
      <c r="C82" s="96">
        <v>4</v>
      </c>
      <c r="F82" s="96" t="s">
        <v>937</v>
      </c>
      <c r="G82" s="96" t="s">
        <v>938</v>
      </c>
      <c r="H82" s="96" t="s">
        <v>568</v>
      </c>
      <c r="I82" s="96" t="s">
        <v>1243</v>
      </c>
      <c r="J82" s="96" t="s">
        <v>1323</v>
      </c>
      <c r="M82" s="96" t="s">
        <v>1144</v>
      </c>
      <c r="N82" s="96" t="s">
        <v>643</v>
      </c>
    </row>
    <row r="83" spans="1:14" x14ac:dyDescent="0.2">
      <c r="A83" s="313" t="s">
        <v>562</v>
      </c>
      <c r="B83" s="304" t="s">
        <v>1302</v>
      </c>
      <c r="C83" s="96">
        <v>5</v>
      </c>
      <c r="E83" s="93" t="s">
        <v>1319</v>
      </c>
      <c r="F83" s="117">
        <f>2*J83*B88</f>
        <v>0</v>
      </c>
      <c r="G83" s="93" t="e">
        <f>IF(quote13="53.1","5101AB0","5100AM0")&amp;VLOOKUP(quote14,$M$83:$N$89,2,FALSE)</f>
        <v>#N/A</v>
      </c>
      <c r="H83" s="117"/>
      <c r="I83" s="93" t="str">
        <f>IF(quote13="53.1","5101AB","5100AM")</f>
        <v>5100AM</v>
      </c>
      <c r="J83" s="319">
        <f>IF(OR(quote13="53.1",quote13="53.2"),1,0)</f>
        <v>0</v>
      </c>
      <c r="K83" s="111" t="s">
        <v>1547</v>
      </c>
      <c r="M83" s="117">
        <v>325</v>
      </c>
      <c r="N83" s="117">
        <v>145</v>
      </c>
    </row>
    <row r="84" spans="1:14" x14ac:dyDescent="0.2">
      <c r="A84" s="313" t="s">
        <v>563</v>
      </c>
      <c r="B84" s="304" t="s">
        <v>1303</v>
      </c>
      <c r="C84" s="96">
        <v>6</v>
      </c>
      <c r="F84" s="117">
        <f>2*J84*B88</f>
        <v>0</v>
      </c>
      <c r="G84" s="299" t="str">
        <f>IF(OR(quote13="53.11",quote13="53.12"),"51.01.","51.00.")</f>
        <v>51.00.</v>
      </c>
      <c r="H84" s="125" t="e">
        <f>VLOOKUP(quote14,M101:N108,2,FALSE)</f>
        <v>#N/A</v>
      </c>
      <c r="I84" s="117"/>
      <c r="J84" s="319">
        <f>IF(OR(quote13="53.1",quote13="53.2"),0,1)</f>
        <v>1</v>
      </c>
      <c r="K84" s="111" t="s">
        <v>1547</v>
      </c>
      <c r="M84" s="117">
        <v>400</v>
      </c>
      <c r="N84" s="117">
        <v>195</v>
      </c>
    </row>
    <row r="85" spans="1:14" x14ac:dyDescent="0.2">
      <c r="A85" s="313" t="s">
        <v>564</v>
      </c>
      <c r="B85" s="304" t="s">
        <v>1304</v>
      </c>
      <c r="C85" s="96">
        <v>7</v>
      </c>
      <c r="E85" s="93" t="s">
        <v>1320</v>
      </c>
      <c r="F85" s="117">
        <f>2*J85*B88</f>
        <v>0</v>
      </c>
      <c r="G85" s="93" t="e">
        <v>#N/A</v>
      </c>
      <c r="H85" s="117"/>
      <c r="I85" s="93" t="s">
        <v>524</v>
      </c>
      <c r="J85" s="319">
        <f>IF(OR(quote13="53.1",quote13="53.2"),1,0)</f>
        <v>0</v>
      </c>
      <c r="K85" s="111" t="s">
        <v>1547</v>
      </c>
      <c r="M85" s="117">
        <v>550</v>
      </c>
      <c r="N85" s="117">
        <v>295</v>
      </c>
    </row>
    <row r="86" spans="1:14" x14ac:dyDescent="0.2">
      <c r="F86" s="117">
        <f>2*J86*B88</f>
        <v>0</v>
      </c>
      <c r="G86" s="93" t="e">
        <v>#N/A</v>
      </c>
      <c r="H86" s="117"/>
      <c r="I86" s="93" t="s">
        <v>524</v>
      </c>
      <c r="J86" s="319">
        <f>IF(OR(quote13="53.1",quote13="53.2"),0,1)</f>
        <v>1</v>
      </c>
      <c r="K86" s="111" t="s">
        <v>1547</v>
      </c>
      <c r="M86" s="117">
        <v>700</v>
      </c>
      <c r="N86" s="117">
        <v>395</v>
      </c>
    </row>
    <row r="87" spans="1:14" x14ac:dyDescent="0.2">
      <c r="A87" s="96" t="s">
        <v>652</v>
      </c>
      <c r="B87" s="96" t="str">
        <f>+quote13</f>
        <v>55.1</v>
      </c>
      <c r="E87" s="93" t="s">
        <v>941</v>
      </c>
      <c r="F87" s="93">
        <v>0</v>
      </c>
      <c r="G87" s="117" t="s">
        <v>1310</v>
      </c>
      <c r="H87" s="117"/>
      <c r="I87" s="117"/>
      <c r="J87" s="380">
        <v>1</v>
      </c>
      <c r="K87" s="111" t="s">
        <v>1547</v>
      </c>
      <c r="M87" s="117">
        <v>850</v>
      </c>
      <c r="N87" s="117">
        <v>495</v>
      </c>
    </row>
    <row r="88" spans="1:14" x14ac:dyDescent="0.2">
      <c r="A88" s="117" t="s">
        <v>778</v>
      </c>
      <c r="B88" s="93">
        <v>0</v>
      </c>
      <c r="F88" s="93">
        <v>0</v>
      </c>
      <c r="G88" s="117" t="s">
        <v>1311</v>
      </c>
      <c r="H88" s="117"/>
      <c r="I88" s="117"/>
      <c r="J88" s="380">
        <v>1</v>
      </c>
      <c r="K88" s="111" t="s">
        <v>1547</v>
      </c>
      <c r="M88" s="117">
        <v>1000</v>
      </c>
      <c r="N88" s="117">
        <v>645</v>
      </c>
    </row>
    <row r="89" spans="1:14" x14ac:dyDescent="0.2">
      <c r="E89" s="93" t="s">
        <v>1307</v>
      </c>
      <c r="F89" s="93">
        <f>B95*J89*B88</f>
        <v>0</v>
      </c>
      <c r="G89" s="93" t="str">
        <f>IF(quote13="53.1","51.30.","51.00.")</f>
        <v>51.00.</v>
      </c>
      <c r="H89" s="93">
        <v>-110</v>
      </c>
      <c r="I89" s="117"/>
      <c r="J89" s="319">
        <f>IF(OR(quote13="53.1",quote13="53.2"),1,0)</f>
        <v>0</v>
      </c>
      <c r="K89" s="111" t="s">
        <v>1547</v>
      </c>
      <c r="M89" s="117">
        <v>1200</v>
      </c>
      <c r="N89" s="117">
        <v>845</v>
      </c>
    </row>
    <row r="90" spans="1:14" x14ac:dyDescent="0.2">
      <c r="A90" s="96" t="s">
        <v>1658</v>
      </c>
      <c r="B90" s="96"/>
      <c r="F90" s="117">
        <f>1*J90*B88</f>
        <v>0</v>
      </c>
      <c r="G90" s="299" t="str">
        <f>IF(OR(quote13="53.11",quote13="53.12"),"51.30.","51.00.")</f>
        <v>51.00.</v>
      </c>
      <c r="H90" s="93">
        <v>-110</v>
      </c>
      <c r="I90" s="117"/>
      <c r="J90" s="319">
        <f>IF(AND(quote13&lt;&gt;"53.1",quote13&lt;&gt;"53.2"),1,0)</f>
        <v>1</v>
      </c>
      <c r="K90" s="111" t="s">
        <v>1547</v>
      </c>
      <c r="M90" s="96" t="s">
        <v>1144</v>
      </c>
      <c r="N90" s="96" t="s">
        <v>1320</v>
      </c>
    </row>
    <row r="91" spans="1:14" x14ac:dyDescent="0.2">
      <c r="A91" s="117" t="s">
        <v>1659</v>
      </c>
      <c r="B91" s="93">
        <f>IF(quote14&lt;700,1,0)</f>
        <v>0</v>
      </c>
      <c r="E91" s="93" t="s">
        <v>1326</v>
      </c>
      <c r="F91" s="117">
        <f>1*J91*B88</f>
        <v>0</v>
      </c>
      <c r="G91" s="117" t="s">
        <v>1112</v>
      </c>
      <c r="H91" s="93">
        <f>IF(P0Q2&lt;400,400,+P0Q2+100)</f>
        <v>900</v>
      </c>
      <c r="I91" s="117"/>
      <c r="J91" s="319">
        <f>IF(OR(quote13="53.1",quote13="53.2"),0,1)</f>
        <v>1</v>
      </c>
      <c r="K91" s="111" t="s">
        <v>1547</v>
      </c>
      <c r="M91" s="117">
        <v>325</v>
      </c>
      <c r="N91" s="117">
        <v>220</v>
      </c>
    </row>
    <row r="92" spans="1:14" x14ac:dyDescent="0.2">
      <c r="A92" s="117" t="s">
        <v>1660</v>
      </c>
      <c r="B92" s="93">
        <f>IF(quote14&gt;=700,2,0)</f>
        <v>2</v>
      </c>
      <c r="E92" s="93" t="s">
        <v>1327</v>
      </c>
      <c r="F92" s="117">
        <f>2*J92*B88</f>
        <v>0</v>
      </c>
      <c r="G92" s="117" t="s">
        <v>1112</v>
      </c>
      <c r="H92" s="93">
        <f>IF(P0Q2&lt;=400,400,600)</f>
        <v>600</v>
      </c>
      <c r="J92" s="319">
        <f>IF(OR(quote13="53.12",quote13="53.22"),1,0)</f>
        <v>0</v>
      </c>
      <c r="K92" s="111" t="s">
        <v>1547</v>
      </c>
      <c r="M92" s="117">
        <v>400</v>
      </c>
      <c r="N92" s="117">
        <v>270</v>
      </c>
    </row>
    <row r="93" spans="1:14" x14ac:dyDescent="0.2">
      <c r="A93" s="117" t="s">
        <v>1662</v>
      </c>
      <c r="B93" s="93">
        <f>IF(AND(quote13="53.1",P0Q2&gt;=400),1,0)</f>
        <v>0</v>
      </c>
      <c r="E93" s="93" t="s">
        <v>1308</v>
      </c>
      <c r="F93" s="117">
        <f>2*J93*B88</f>
        <v>0</v>
      </c>
      <c r="G93" s="117" t="s">
        <v>1309</v>
      </c>
      <c r="H93" s="117"/>
      <c r="I93" s="117"/>
      <c r="J93" s="319">
        <f>IF(OR(quote13="53.1",quote13="53.2"),1,0)</f>
        <v>0</v>
      </c>
      <c r="M93" s="117">
        <v>550</v>
      </c>
      <c r="N93" s="117">
        <v>370</v>
      </c>
    </row>
    <row r="94" spans="1:14" x14ac:dyDescent="0.2">
      <c r="A94" s="117" t="s">
        <v>1661</v>
      </c>
      <c r="B94" s="93">
        <f>IF(AND(quote13="53.2",P0Q2&gt;=500),1,0)</f>
        <v>0</v>
      </c>
      <c r="F94" s="93">
        <f>IF(OR(quote13="53.11",quote13="53.21"),2,4)*B88*J94</f>
        <v>0</v>
      </c>
      <c r="G94" s="117" t="s">
        <v>1321</v>
      </c>
      <c r="H94" s="117"/>
      <c r="I94" s="117"/>
      <c r="J94" s="319">
        <f>IF(OR(quote13="53.1",quote13="53.2"),0,1)</f>
        <v>1</v>
      </c>
      <c r="M94" s="117">
        <v>700</v>
      </c>
      <c r="N94" s="117">
        <v>470</v>
      </c>
    </row>
    <row r="95" spans="1:14" x14ac:dyDescent="0.2">
      <c r="A95" s="381" t="s">
        <v>1664</v>
      </c>
      <c r="B95" s="96">
        <f>SUM(B91:B94)</f>
        <v>2</v>
      </c>
      <c r="E95" s="93" t="s">
        <v>941</v>
      </c>
      <c r="F95" s="93">
        <f>IF(OR(quote13="53.11",quote13="53.21"),2,4)*B88*J95</f>
        <v>0</v>
      </c>
      <c r="G95" s="117" t="s">
        <v>1322</v>
      </c>
      <c r="H95" s="117"/>
      <c r="I95" s="117"/>
      <c r="J95" s="319">
        <f>IF(OR(quote13="53.1",quote13="53.2"),0,1)</f>
        <v>1</v>
      </c>
      <c r="M95" s="117">
        <v>850</v>
      </c>
      <c r="N95" s="117">
        <v>570</v>
      </c>
    </row>
    <row r="96" spans="1:14" x14ac:dyDescent="0.2">
      <c r="E96" s="93" t="s">
        <v>968</v>
      </c>
      <c r="F96" s="93">
        <v>0</v>
      </c>
      <c r="G96" s="117" t="s">
        <v>1312</v>
      </c>
      <c r="H96" s="117"/>
      <c r="I96" s="117"/>
      <c r="J96" s="380">
        <v>1</v>
      </c>
      <c r="M96" s="117">
        <v>1000</v>
      </c>
      <c r="N96" s="117">
        <v>570</v>
      </c>
    </row>
    <row r="97" spans="1:14" x14ac:dyDescent="0.2">
      <c r="A97" s="111" t="s">
        <v>1663</v>
      </c>
      <c r="B97" s="96">
        <f>SUM(B93:B94)*2</f>
        <v>0</v>
      </c>
      <c r="F97" s="93">
        <v>0</v>
      </c>
      <c r="G97" s="117" t="s">
        <v>1313</v>
      </c>
      <c r="H97" s="117"/>
      <c r="I97" s="117"/>
      <c r="J97" s="380">
        <v>1</v>
      </c>
      <c r="M97" s="117">
        <v>1200</v>
      </c>
      <c r="N97" s="117">
        <v>570</v>
      </c>
    </row>
    <row r="98" spans="1:14" x14ac:dyDescent="0.2">
      <c r="F98" s="93">
        <v>0</v>
      </c>
      <c r="G98" s="117" t="s">
        <v>1314</v>
      </c>
      <c r="H98" s="117"/>
      <c r="I98" s="117"/>
      <c r="J98" s="380">
        <v>1</v>
      </c>
    </row>
    <row r="99" spans="1:14" x14ac:dyDescent="0.2">
      <c r="F99" s="93">
        <v>0</v>
      </c>
      <c r="G99" s="117" t="s">
        <v>1315</v>
      </c>
      <c r="H99" s="117"/>
      <c r="I99" s="117"/>
      <c r="J99" s="380">
        <v>1</v>
      </c>
      <c r="M99" s="1044" t="s">
        <v>1330</v>
      </c>
      <c r="N99" s="1044"/>
    </row>
    <row r="100" spans="1:14" x14ac:dyDescent="0.2">
      <c r="E100" s="93" t="s">
        <v>941</v>
      </c>
      <c r="F100" s="117">
        <f>2*J100*B88</f>
        <v>0</v>
      </c>
      <c r="G100" s="117" t="s">
        <v>1281</v>
      </c>
      <c r="H100" s="117"/>
      <c r="I100" s="117"/>
      <c r="J100" s="380">
        <v>1</v>
      </c>
      <c r="M100" s="96" t="s">
        <v>1144</v>
      </c>
      <c r="N100" s="96" t="s">
        <v>643</v>
      </c>
    </row>
    <row r="101" spans="1:14" x14ac:dyDescent="0.2">
      <c r="E101" s="93" t="s">
        <v>1118</v>
      </c>
      <c r="F101" s="93">
        <v>0</v>
      </c>
      <c r="G101" s="93" t="str">
        <f>IF(quote13="53.1","51.01.","51.00.")</f>
        <v>51.00.</v>
      </c>
      <c r="H101" s="93">
        <f>IF(quote13="53.1",70,90)</f>
        <v>90</v>
      </c>
      <c r="I101" s="117"/>
      <c r="J101" s="319">
        <f>IF(OR(quote13="53.1",quote13="53.2"),1,0)</f>
        <v>0</v>
      </c>
      <c r="M101" s="117">
        <v>400</v>
      </c>
      <c r="N101" s="117">
        <v>165</v>
      </c>
    </row>
    <row r="102" spans="1:14" x14ac:dyDescent="0.2">
      <c r="E102" s="93" t="s">
        <v>1316</v>
      </c>
      <c r="F102" s="93">
        <f>+F89*2*J102</f>
        <v>0</v>
      </c>
      <c r="G102" s="117" t="s">
        <v>1286</v>
      </c>
      <c r="H102" s="117"/>
      <c r="I102" s="117"/>
      <c r="J102" s="319">
        <f>IF(OR(quote13="53.1",quote13="53.2"),1,0)</f>
        <v>0</v>
      </c>
      <c r="M102" s="117">
        <v>450</v>
      </c>
      <c r="N102" s="117">
        <v>215</v>
      </c>
    </row>
    <row r="103" spans="1:14" x14ac:dyDescent="0.2">
      <c r="F103" s="117">
        <f>4*J103*B88</f>
        <v>0</v>
      </c>
      <c r="G103" s="117" t="s">
        <v>1286</v>
      </c>
      <c r="H103" s="117"/>
      <c r="I103" s="117"/>
      <c r="J103" s="319">
        <f>IF(OR(quote13="53.1",quote13="53.2"),0,1)</f>
        <v>1</v>
      </c>
      <c r="M103" s="117">
        <v>500</v>
      </c>
      <c r="N103" s="117">
        <v>240</v>
      </c>
    </row>
    <row r="104" spans="1:14" x14ac:dyDescent="0.2">
      <c r="F104" s="117">
        <f>4*J104*B88</f>
        <v>0</v>
      </c>
      <c r="G104" s="117" t="s">
        <v>1328</v>
      </c>
      <c r="H104" s="117"/>
      <c r="I104" s="117"/>
      <c r="J104" s="319">
        <f>IF(OR(quote13="53.12",quote13="53.22"),1,0)</f>
        <v>0</v>
      </c>
      <c r="M104" s="117">
        <v>600</v>
      </c>
      <c r="N104" s="117">
        <v>340</v>
      </c>
    </row>
    <row r="105" spans="1:14" x14ac:dyDescent="0.2">
      <c r="E105" s="93" t="s">
        <v>1324</v>
      </c>
      <c r="F105" s="93">
        <f>IF(OR(quote13="53.11",quote13="53.21"),2,4)*J105*B88</f>
        <v>0</v>
      </c>
      <c r="G105" s="117" t="s">
        <v>1325</v>
      </c>
      <c r="H105" s="117"/>
      <c r="I105" s="117"/>
      <c r="J105" s="319">
        <f>IF(OR(quote13="53.1",quote13="53.2"),0,1)</f>
        <v>1</v>
      </c>
      <c r="M105" s="117">
        <v>700</v>
      </c>
      <c r="N105" s="117">
        <v>390</v>
      </c>
    </row>
    <row r="106" spans="1:14" x14ac:dyDescent="0.2">
      <c r="M106" s="117">
        <v>800</v>
      </c>
      <c r="N106" s="117">
        <v>440</v>
      </c>
    </row>
    <row r="107" spans="1:14" x14ac:dyDescent="0.2">
      <c r="E107" s="111" t="s">
        <v>1543</v>
      </c>
      <c r="M107" s="117">
        <v>1000</v>
      </c>
      <c r="N107" s="117">
        <v>590</v>
      </c>
    </row>
    <row r="108" spans="1:14" x14ac:dyDescent="0.2">
      <c r="E108" s="111" t="s">
        <v>1544</v>
      </c>
      <c r="M108" s="117">
        <v>1200</v>
      </c>
      <c r="N108" s="117">
        <v>790</v>
      </c>
    </row>
    <row r="109" spans="1:14" x14ac:dyDescent="0.2">
      <c r="E109" s="111" t="s">
        <v>1545</v>
      </c>
    </row>
    <row r="110" spans="1:14" x14ac:dyDescent="0.2">
      <c r="E110" s="111" t="s">
        <v>1546</v>
      </c>
      <c r="F110" s="93">
        <f>IF(quote13="53.1",IF(AND(quote14&gt;=700,P0Q2&gt;=400),2,IF(P0Q2&gt;=400,2,1)),IF(AND(quote14&gt;=700,P0Q2&gt;=500),2,IF(P0Q2&gt;=500,2,1)))*J89*B88</f>
        <v>0</v>
      </c>
      <c r="M110" s="117">
        <v>400</v>
      </c>
      <c r="N110" s="117">
        <v>220</v>
      </c>
    </row>
    <row r="111" spans="1:14" x14ac:dyDescent="0.2">
      <c r="M111" s="117">
        <v>450</v>
      </c>
      <c r="N111" s="117">
        <v>220</v>
      </c>
    </row>
    <row r="112" spans="1:14" x14ac:dyDescent="0.2">
      <c r="M112" s="117">
        <v>500</v>
      </c>
      <c r="N112" s="117">
        <v>270</v>
      </c>
    </row>
    <row r="113" spans="13:14" x14ac:dyDescent="0.2">
      <c r="M113" s="117">
        <v>600</v>
      </c>
      <c r="N113" s="117">
        <v>270</v>
      </c>
    </row>
    <row r="114" spans="13:14" x14ac:dyDescent="0.2">
      <c r="M114" s="117">
        <v>700</v>
      </c>
      <c r="N114" s="117">
        <v>370</v>
      </c>
    </row>
    <row r="115" spans="13:14" x14ac:dyDescent="0.2">
      <c r="M115" s="117">
        <v>800</v>
      </c>
      <c r="N115" s="117">
        <v>470</v>
      </c>
    </row>
    <row r="116" spans="13:14" x14ac:dyDescent="0.2">
      <c r="M116" s="117">
        <v>1000</v>
      </c>
      <c r="N116" s="117">
        <v>570</v>
      </c>
    </row>
    <row r="117" spans="13:14" x14ac:dyDescent="0.2">
      <c r="M117" s="117">
        <v>1200</v>
      </c>
      <c r="N117" s="117">
        <v>570</v>
      </c>
    </row>
  </sheetData>
  <mergeCells count="30">
    <mergeCell ref="AC38:AD38"/>
    <mergeCell ref="U38:X38"/>
    <mergeCell ref="Y38:AB38"/>
    <mergeCell ref="O38:P38"/>
    <mergeCell ref="Q38:R38"/>
    <mergeCell ref="S38:T38"/>
    <mergeCell ref="I31:J31"/>
    <mergeCell ref="F38:I38"/>
    <mergeCell ref="J38:N38"/>
    <mergeCell ref="A29:B29"/>
    <mergeCell ref="G72:H72"/>
    <mergeCell ref="I72:J72"/>
    <mergeCell ref="G71:H71"/>
    <mergeCell ref="I71:J71"/>
    <mergeCell ref="G66:H66"/>
    <mergeCell ref="I66:J66"/>
    <mergeCell ref="G67:H67"/>
    <mergeCell ref="I67:J67"/>
    <mergeCell ref="G68:H68"/>
    <mergeCell ref="I69:J69"/>
    <mergeCell ref="G70:H70"/>
    <mergeCell ref="I70:J70"/>
    <mergeCell ref="M99:N99"/>
    <mergeCell ref="G73:H73"/>
    <mergeCell ref="I73:J73"/>
    <mergeCell ref="I68:J68"/>
    <mergeCell ref="M79:N79"/>
    <mergeCell ref="M80:N80"/>
    <mergeCell ref="I75:J75"/>
    <mergeCell ref="G69:H69"/>
  </mergeCells>
  <phoneticPr fontId="7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4">
    <tabColor indexed="10"/>
  </sheetPr>
  <dimension ref="A1:T231"/>
  <sheetViews>
    <sheetView workbookViewId="0">
      <selection activeCell="K11" sqref="K11"/>
    </sheetView>
  </sheetViews>
  <sheetFormatPr defaultRowHeight="12.75" x14ac:dyDescent="0.2"/>
  <cols>
    <col min="1" max="1" width="10.42578125" bestFit="1" customWidth="1"/>
    <col min="2" max="2" width="7.5703125" bestFit="1" customWidth="1"/>
    <col min="3" max="3" width="3.140625" bestFit="1" customWidth="1"/>
    <col min="4" max="4" width="5.85546875" bestFit="1" customWidth="1"/>
    <col min="5" max="5" width="4.5703125" bestFit="1" customWidth="1"/>
    <col min="6" max="6" width="4.140625" bestFit="1" customWidth="1"/>
    <col min="7" max="7" width="3" bestFit="1" customWidth="1"/>
    <col min="8" max="8" width="14.140625" bestFit="1" customWidth="1"/>
    <col min="9" max="9" width="10" bestFit="1" customWidth="1"/>
    <col min="10" max="10" width="14.140625" bestFit="1" customWidth="1"/>
    <col min="11" max="11" width="9" bestFit="1" customWidth="1"/>
    <col min="12" max="12" width="5.28515625" bestFit="1" customWidth="1"/>
    <col min="13" max="13" width="4.140625" customWidth="1"/>
    <col min="14" max="14" width="4.140625" bestFit="1" customWidth="1"/>
    <col min="15" max="15" width="7.5703125" bestFit="1" customWidth="1"/>
    <col min="16" max="16" width="7" bestFit="1" customWidth="1"/>
    <col min="17" max="17" width="7.140625" bestFit="1" customWidth="1"/>
    <col min="18" max="18" width="4" bestFit="1" customWidth="1"/>
    <col min="19" max="19" width="10.42578125" bestFit="1" customWidth="1"/>
    <col min="20" max="20" width="6.5703125" bestFit="1" customWidth="1"/>
  </cols>
  <sheetData>
    <row r="1" spans="1:20" x14ac:dyDescent="0.2">
      <c r="A1" s="330">
        <f>+quote76</f>
        <v>15.875</v>
      </c>
      <c r="B1" s="326" t="s">
        <v>1346</v>
      </c>
      <c r="C1" s="1055" t="s">
        <v>1348</v>
      </c>
      <c r="D1" s="1055"/>
      <c r="E1" s="1055"/>
    </row>
    <row r="2" spans="1:20" x14ac:dyDescent="0.2">
      <c r="A2" s="330" t="str">
        <f>+quote59</f>
        <v>AC</v>
      </c>
      <c r="B2" s="326" t="s">
        <v>1158</v>
      </c>
      <c r="C2" s="1055" t="s">
        <v>1096</v>
      </c>
      <c r="D2" s="1055"/>
      <c r="E2" s="1055"/>
      <c r="G2" t="s">
        <v>1340</v>
      </c>
      <c r="H2" s="50" t="str">
        <f>IF(ISERROR(VLOOKUP(1,SprocketRange,4,FALSE)),0,VLOOKUP(1,SprocketRange,4,FALSE))</f>
        <v>P58.35.012.016</v>
      </c>
      <c r="I2" t="s">
        <v>1454</v>
      </c>
      <c r="J2" s="50">
        <f>IF(ISERROR(VLOOKUP(1,SprocketRange,3,FALSE)),0,VLOOKUP(1,SprocketRange,3,FALSE))</f>
        <v>12</v>
      </c>
      <c r="K2" t="s">
        <v>1340</v>
      </c>
      <c r="N2" t="s">
        <v>1473</v>
      </c>
      <c r="O2" t="s">
        <v>1474</v>
      </c>
      <c r="P2" s="70">
        <v>98.072000000000003</v>
      </c>
      <c r="Q2" t="s">
        <v>1479</v>
      </c>
      <c r="R2" s="70" t="s">
        <v>1489</v>
      </c>
      <c r="S2" s="70" t="s">
        <v>879</v>
      </c>
      <c r="T2" s="70" t="s">
        <v>1490</v>
      </c>
    </row>
    <row r="3" spans="1:20" x14ac:dyDescent="0.2">
      <c r="A3" s="745">
        <f>+quote45</f>
        <v>84</v>
      </c>
      <c r="B3" s="326" t="s">
        <v>864</v>
      </c>
      <c r="C3" s="1055" t="s">
        <v>1350</v>
      </c>
      <c r="D3" s="1055"/>
      <c r="E3" s="1055"/>
      <c r="G3" t="s">
        <v>1341</v>
      </c>
      <c r="H3" s="50" t="str">
        <f>IF(ISERROR(VLOOKUP(1,SprocketRange,6,FALSE)),0,VLOOKUP(1,SprocketRange,6,FALSE))</f>
        <v>P58.35.016</v>
      </c>
      <c r="I3" t="s">
        <v>1455</v>
      </c>
      <c r="J3" s="50">
        <f>IF(ISERROR(VLOOKUP(1,SprocketRange,5,FALSE)),0,VLOOKUP(1,SprocketRange,5,FALSE))</f>
        <v>16</v>
      </c>
      <c r="K3" t="s">
        <v>1341</v>
      </c>
      <c r="O3" t="s">
        <v>1475</v>
      </c>
      <c r="P3" s="70">
        <v>98.26</v>
      </c>
      <c r="Q3" t="s">
        <v>1479</v>
      </c>
      <c r="R3" t="s">
        <v>1489</v>
      </c>
      <c r="S3" s="70"/>
      <c r="T3" s="70" t="s">
        <v>1490</v>
      </c>
    </row>
    <row r="4" spans="1:20" x14ac:dyDescent="0.2">
      <c r="A4" s="746">
        <f>+P12q1</f>
        <v>111.94849972700983</v>
      </c>
      <c r="B4" s="326" t="s">
        <v>672</v>
      </c>
      <c r="C4" s="1055" t="s">
        <v>1349</v>
      </c>
      <c r="D4" s="1055"/>
      <c r="E4" s="1055"/>
      <c r="N4" t="s">
        <v>1477</v>
      </c>
      <c r="O4" t="s">
        <v>1478</v>
      </c>
      <c r="P4">
        <v>63.26</v>
      </c>
      <c r="Q4" t="s">
        <v>1476</v>
      </c>
      <c r="R4" t="s">
        <v>1480</v>
      </c>
      <c r="S4" t="s">
        <v>1483</v>
      </c>
      <c r="T4" t="s">
        <v>1486</v>
      </c>
    </row>
    <row r="5" spans="1:20" x14ac:dyDescent="0.2">
      <c r="A5" s="328">
        <f>+quote42</f>
        <v>11.194849972700981</v>
      </c>
      <c r="B5" s="326" t="s">
        <v>853</v>
      </c>
      <c r="C5" s="1055" t="s">
        <v>1522</v>
      </c>
      <c r="D5" s="1055"/>
      <c r="E5" s="1055"/>
      <c r="N5" t="s">
        <v>1484</v>
      </c>
      <c r="O5" t="s">
        <v>1474</v>
      </c>
      <c r="P5">
        <v>96.2</v>
      </c>
      <c r="Q5" t="s">
        <v>1479</v>
      </c>
      <c r="R5" t="s">
        <v>1487</v>
      </c>
      <c r="S5" t="s">
        <v>1485</v>
      </c>
      <c r="T5" s="340" t="s">
        <v>1488</v>
      </c>
    </row>
    <row r="6" spans="1:20" x14ac:dyDescent="0.2">
      <c r="A6" s="328">
        <f>+quote43</f>
        <v>128.74077468606129</v>
      </c>
      <c r="B6" s="326" t="s">
        <v>854</v>
      </c>
      <c r="C6" s="1055" t="s">
        <v>1523</v>
      </c>
      <c r="D6" s="1055"/>
      <c r="E6" s="1055"/>
      <c r="O6" t="s">
        <v>1475</v>
      </c>
      <c r="P6">
        <v>99.1</v>
      </c>
      <c r="Q6" t="s">
        <v>1479</v>
      </c>
      <c r="R6" t="s">
        <v>1489</v>
      </c>
      <c r="T6" t="s">
        <v>1490</v>
      </c>
    </row>
    <row r="7" spans="1:20" x14ac:dyDescent="0.2">
      <c r="N7" t="s">
        <v>701</v>
      </c>
      <c r="O7" t="s">
        <v>1474</v>
      </c>
      <c r="P7">
        <v>103</v>
      </c>
      <c r="Q7" t="s">
        <v>1479</v>
      </c>
      <c r="R7" t="s">
        <v>1489</v>
      </c>
      <c r="S7" t="s">
        <v>1491</v>
      </c>
      <c r="T7" t="s">
        <v>1490</v>
      </c>
    </row>
    <row r="8" spans="1:20" x14ac:dyDescent="0.2">
      <c r="A8" s="357">
        <f>+A4*0.95/A3</f>
        <v>1.2660842231030873</v>
      </c>
      <c r="C8" s="1054" t="s">
        <v>1944</v>
      </c>
      <c r="D8" s="1054"/>
      <c r="E8" s="1054"/>
      <c r="O8" t="s">
        <v>1475</v>
      </c>
      <c r="P8">
        <v>99.3</v>
      </c>
      <c r="Q8" t="s">
        <v>1479</v>
      </c>
      <c r="R8" t="s">
        <v>1489</v>
      </c>
      <c r="T8" t="s">
        <v>1490</v>
      </c>
    </row>
    <row r="9" spans="1:20" x14ac:dyDescent="0.2">
      <c r="A9" s="357">
        <f>+A4*2/A3</f>
        <v>2.6654404696907101</v>
      </c>
      <c r="C9" s="1054" t="s">
        <v>2219</v>
      </c>
      <c r="D9" s="1055"/>
      <c r="E9" s="1055"/>
      <c r="N9" t="s">
        <v>700</v>
      </c>
      <c r="S9" s="70" t="s">
        <v>1492</v>
      </c>
    </row>
    <row r="10" spans="1:20" x14ac:dyDescent="0.2">
      <c r="N10" t="s">
        <v>691</v>
      </c>
      <c r="O10" t="s">
        <v>1474</v>
      </c>
      <c r="P10">
        <v>103.2</v>
      </c>
      <c r="Q10" t="s">
        <v>1479</v>
      </c>
      <c r="R10" t="s">
        <v>1489</v>
      </c>
      <c r="S10" t="s">
        <v>1493</v>
      </c>
      <c r="T10" t="s">
        <v>1490</v>
      </c>
    </row>
    <row r="11" spans="1:20" x14ac:dyDescent="0.2">
      <c r="A11" s="744">
        <f>+A4/A3</f>
        <v>1.3327202348453551</v>
      </c>
      <c r="C11" s="1055" t="s">
        <v>2217</v>
      </c>
      <c r="D11" s="1055"/>
      <c r="E11" s="1055"/>
      <c r="O11" t="s">
        <v>1475</v>
      </c>
      <c r="P11">
        <v>103.57</v>
      </c>
      <c r="Q11" t="s">
        <v>1479</v>
      </c>
      <c r="R11" t="s">
        <v>1489</v>
      </c>
    </row>
    <row r="12" spans="1:20" x14ac:dyDescent="0.2">
      <c r="N12" t="s">
        <v>704</v>
      </c>
      <c r="O12" t="s">
        <v>984</v>
      </c>
      <c r="P12">
        <v>84.65</v>
      </c>
      <c r="Q12" t="s">
        <v>1479</v>
      </c>
    </row>
    <row r="13" spans="1:20" x14ac:dyDescent="0.2">
      <c r="O13" t="s">
        <v>1475</v>
      </c>
      <c r="P13">
        <v>83.91</v>
      </c>
      <c r="Q13" t="s">
        <v>1479</v>
      </c>
      <c r="R13" t="s">
        <v>1509</v>
      </c>
      <c r="S13" t="s">
        <v>1500</v>
      </c>
    </row>
    <row r="14" spans="1:20" x14ac:dyDescent="0.2">
      <c r="O14" t="s">
        <v>1475</v>
      </c>
      <c r="P14">
        <v>67.34</v>
      </c>
      <c r="Q14" t="s">
        <v>1479</v>
      </c>
      <c r="R14" t="s">
        <v>1502</v>
      </c>
      <c r="S14" t="s">
        <v>1501</v>
      </c>
    </row>
    <row r="15" spans="1:20" x14ac:dyDescent="0.2">
      <c r="A15" s="334" t="s">
        <v>712</v>
      </c>
      <c r="B15" s="334" t="s">
        <v>447</v>
      </c>
      <c r="C15" s="958" t="s">
        <v>1461</v>
      </c>
      <c r="D15" s="958"/>
      <c r="O15" t="s">
        <v>984</v>
      </c>
      <c r="P15">
        <v>43.62</v>
      </c>
      <c r="Q15" t="s">
        <v>1479</v>
      </c>
      <c r="R15" t="s">
        <v>1504</v>
      </c>
      <c r="S15" t="s">
        <v>1503</v>
      </c>
    </row>
    <row r="16" spans="1:20" x14ac:dyDescent="0.2">
      <c r="A16" s="335" t="s">
        <v>1351</v>
      </c>
      <c r="B16" s="335" t="s">
        <v>1347</v>
      </c>
      <c r="C16" s="280" t="s">
        <v>1462</v>
      </c>
      <c r="D16" s="338" t="s">
        <v>1463</v>
      </c>
      <c r="E16" s="336" t="s">
        <v>787</v>
      </c>
      <c r="G16" s="334" t="s">
        <v>1340</v>
      </c>
      <c r="I16" s="334" t="s">
        <v>1341</v>
      </c>
      <c r="K16" s="334" t="s">
        <v>1342</v>
      </c>
      <c r="L16" s="334" t="s">
        <v>1347</v>
      </c>
      <c r="N16" t="s">
        <v>706</v>
      </c>
      <c r="S16" t="s">
        <v>1507</v>
      </c>
    </row>
    <row r="17" spans="1:19" x14ac:dyDescent="0.2">
      <c r="A17" s="327">
        <f t="shared" ref="A17:A55" si="0">IF(F17=quote59,1,0)</f>
        <v>0</v>
      </c>
      <c r="B17">
        <f t="shared" ref="B17:B56" si="1">IF(AND($L17&gt;=$A$8,$L17&lt;=$A$9),1,0)</f>
        <v>0</v>
      </c>
      <c r="C17">
        <f t="shared" ref="C17:C27" si="2">IF(D17=1,1,IF(AND($A$1&lt;=$K17,K17&lt;&gt;20),1,0))</f>
        <v>0</v>
      </c>
      <c r="D17">
        <f t="shared" ref="D17:D49" si="3">IF(AND(quote76=20,K17=20),1,0)</f>
        <v>0</v>
      </c>
      <c r="E17" s="96">
        <f>IF(D17=1,MIN(A17:D17),MIN(A17:C17))</f>
        <v>0</v>
      </c>
      <c r="F17" s="330" t="s">
        <v>699</v>
      </c>
      <c r="G17" s="331">
        <v>12</v>
      </c>
      <c r="H17" s="50" t="s">
        <v>1352</v>
      </c>
      <c r="I17" s="331">
        <v>10</v>
      </c>
      <c r="J17" s="50" t="s">
        <v>1353</v>
      </c>
      <c r="K17" s="332">
        <f>9/16*25.4</f>
        <v>14.2875</v>
      </c>
      <c r="L17" s="337">
        <f t="shared" ref="L17:L55" si="4">+I17/G17</f>
        <v>0.83333333333333337</v>
      </c>
      <c r="N17" t="s">
        <v>705</v>
      </c>
      <c r="O17" t="s">
        <v>1478</v>
      </c>
      <c r="P17">
        <v>81.45</v>
      </c>
      <c r="Q17" t="s">
        <v>1479</v>
      </c>
      <c r="R17" t="s">
        <v>1508</v>
      </c>
      <c r="S17" t="s">
        <v>1500</v>
      </c>
    </row>
    <row r="18" spans="1:19" x14ac:dyDescent="0.2">
      <c r="A18" s="327">
        <f t="shared" si="0"/>
        <v>0</v>
      </c>
      <c r="B18">
        <f t="shared" si="1"/>
        <v>0</v>
      </c>
      <c r="C18">
        <f t="shared" si="2"/>
        <v>0</v>
      </c>
      <c r="D18">
        <f t="shared" si="3"/>
        <v>0</v>
      </c>
      <c r="E18" s="96">
        <f t="shared" ref="E18:E82" si="5">IF(D18=1,MIN(A18:D18),MIN(A18:C18))</f>
        <v>0</v>
      </c>
      <c r="F18" s="330" t="s">
        <v>699</v>
      </c>
      <c r="G18" s="331">
        <v>12</v>
      </c>
      <c r="H18" s="50" t="s">
        <v>1352</v>
      </c>
      <c r="I18" s="331">
        <v>11</v>
      </c>
      <c r="J18" s="50" t="s">
        <v>1354</v>
      </c>
      <c r="K18" s="332">
        <f>9/16*25.4</f>
        <v>14.2875</v>
      </c>
      <c r="L18" s="337">
        <f t="shared" si="4"/>
        <v>0.91666666666666663</v>
      </c>
      <c r="P18">
        <v>66.56</v>
      </c>
      <c r="Q18" t="s">
        <v>1479</v>
      </c>
      <c r="R18" t="s">
        <v>1502</v>
      </c>
      <c r="S18" t="s">
        <v>1501</v>
      </c>
    </row>
    <row r="19" spans="1:19" x14ac:dyDescent="0.2">
      <c r="A19" s="327">
        <f t="shared" si="0"/>
        <v>0</v>
      </c>
      <c r="B19">
        <f t="shared" si="1"/>
        <v>0</v>
      </c>
      <c r="C19">
        <f t="shared" si="2"/>
        <v>1</v>
      </c>
      <c r="D19">
        <f t="shared" si="3"/>
        <v>0</v>
      </c>
      <c r="E19" s="96">
        <f t="shared" si="5"/>
        <v>0</v>
      </c>
      <c r="F19" s="330" t="s">
        <v>699</v>
      </c>
      <c r="G19" s="331">
        <v>12</v>
      </c>
      <c r="H19" s="50" t="s">
        <v>1352</v>
      </c>
      <c r="I19" s="331">
        <v>12</v>
      </c>
      <c r="J19" s="50" t="s">
        <v>1355</v>
      </c>
      <c r="K19" s="332">
        <f>3/4*25.4</f>
        <v>19.049999999999997</v>
      </c>
      <c r="L19" s="337">
        <f t="shared" si="4"/>
        <v>1</v>
      </c>
      <c r="P19">
        <v>44.95</v>
      </c>
      <c r="Q19" t="s">
        <v>1479</v>
      </c>
      <c r="R19" t="s">
        <v>1504</v>
      </c>
      <c r="S19" t="s">
        <v>1503</v>
      </c>
    </row>
    <row r="20" spans="1:19" x14ac:dyDescent="0.2">
      <c r="A20" s="327">
        <f t="shared" si="0"/>
        <v>0</v>
      </c>
      <c r="B20">
        <f t="shared" si="1"/>
        <v>0</v>
      </c>
      <c r="C20">
        <f t="shared" si="2"/>
        <v>1</v>
      </c>
      <c r="D20">
        <f t="shared" si="3"/>
        <v>0</v>
      </c>
      <c r="E20" s="96">
        <f t="shared" si="5"/>
        <v>0</v>
      </c>
      <c r="F20" s="330" t="s">
        <v>699</v>
      </c>
      <c r="G20" s="331">
        <v>12</v>
      </c>
      <c r="H20" s="50" t="s">
        <v>1352</v>
      </c>
      <c r="I20" s="331">
        <v>13</v>
      </c>
      <c r="J20" s="50" t="s">
        <v>1356</v>
      </c>
      <c r="K20" s="332">
        <f>3/4*25.4</f>
        <v>19.049999999999997</v>
      </c>
      <c r="L20" s="337">
        <f t="shared" si="4"/>
        <v>1.0833333333333333</v>
      </c>
    </row>
    <row r="21" spans="1:19" x14ac:dyDescent="0.2">
      <c r="A21" s="327">
        <f t="shared" si="0"/>
        <v>0</v>
      </c>
      <c r="B21">
        <f t="shared" si="1"/>
        <v>0</v>
      </c>
      <c r="C21">
        <f t="shared" si="2"/>
        <v>1</v>
      </c>
      <c r="D21">
        <f t="shared" si="3"/>
        <v>0</v>
      </c>
      <c r="E21" s="96">
        <f t="shared" si="5"/>
        <v>0</v>
      </c>
      <c r="F21" s="330" t="s">
        <v>699</v>
      </c>
      <c r="G21" s="331">
        <v>12</v>
      </c>
      <c r="H21" s="50" t="s">
        <v>1352</v>
      </c>
      <c r="I21" s="331">
        <v>14</v>
      </c>
      <c r="J21" s="50" t="s">
        <v>1357</v>
      </c>
      <c r="K21" s="332">
        <f>7/8*25.4</f>
        <v>22.224999999999998</v>
      </c>
      <c r="L21" s="337">
        <f t="shared" si="4"/>
        <v>1.1666666666666667</v>
      </c>
    </row>
    <row r="22" spans="1:19" x14ac:dyDescent="0.2">
      <c r="A22" s="327">
        <f t="shared" si="0"/>
        <v>0</v>
      </c>
      <c r="B22">
        <f t="shared" si="1"/>
        <v>0</v>
      </c>
      <c r="C22">
        <f t="shared" si="2"/>
        <v>1</v>
      </c>
      <c r="D22">
        <f t="shared" si="3"/>
        <v>0</v>
      </c>
      <c r="E22" s="96">
        <f t="shared" si="5"/>
        <v>0</v>
      </c>
      <c r="F22" s="330" t="s">
        <v>699</v>
      </c>
      <c r="G22" s="331">
        <v>12</v>
      </c>
      <c r="H22" s="50" t="s">
        <v>1352</v>
      </c>
      <c r="I22" s="331">
        <v>15</v>
      </c>
      <c r="J22" s="50" t="s">
        <v>1358</v>
      </c>
      <c r="K22" s="332">
        <f>7/8*25.4</f>
        <v>22.224999999999998</v>
      </c>
      <c r="L22" s="337">
        <f t="shared" si="4"/>
        <v>1.25</v>
      </c>
    </row>
    <row r="23" spans="1:19" x14ac:dyDescent="0.2">
      <c r="A23" s="327">
        <f t="shared" si="0"/>
        <v>0</v>
      </c>
      <c r="B23">
        <f t="shared" si="1"/>
        <v>1</v>
      </c>
      <c r="C23">
        <f t="shared" si="2"/>
        <v>1</v>
      </c>
      <c r="D23">
        <f t="shared" si="3"/>
        <v>0</v>
      </c>
      <c r="E23" s="96">
        <f t="shared" si="5"/>
        <v>0</v>
      </c>
      <c r="F23" s="330" t="s">
        <v>699</v>
      </c>
      <c r="G23" s="331">
        <v>12</v>
      </c>
      <c r="H23" s="50" t="s">
        <v>1352</v>
      </c>
      <c r="I23" s="331">
        <v>16</v>
      </c>
      <c r="J23" s="50" t="s">
        <v>1359</v>
      </c>
      <c r="K23" s="333">
        <f>15/16*25.4</f>
        <v>23.8125</v>
      </c>
      <c r="L23" s="337">
        <f t="shared" si="4"/>
        <v>1.3333333333333333</v>
      </c>
    </row>
    <row r="24" spans="1:19" x14ac:dyDescent="0.2">
      <c r="A24" s="327">
        <f t="shared" si="0"/>
        <v>0</v>
      </c>
      <c r="B24">
        <f t="shared" si="1"/>
        <v>1</v>
      </c>
      <c r="C24">
        <f t="shared" si="2"/>
        <v>1</v>
      </c>
      <c r="D24">
        <f t="shared" si="3"/>
        <v>0</v>
      </c>
      <c r="E24" s="96">
        <f t="shared" si="5"/>
        <v>0</v>
      </c>
      <c r="F24" s="330" t="s">
        <v>699</v>
      </c>
      <c r="G24" s="331">
        <v>12</v>
      </c>
      <c r="H24" s="50" t="s">
        <v>1352</v>
      </c>
      <c r="I24" s="331">
        <v>17</v>
      </c>
      <c r="J24" s="50" t="s">
        <v>1360</v>
      </c>
      <c r="K24" s="332">
        <f>1.0625*25.4</f>
        <v>26.987499999999997</v>
      </c>
      <c r="L24" s="337">
        <f t="shared" si="4"/>
        <v>1.4166666666666667</v>
      </c>
    </row>
    <row r="25" spans="1:19" x14ac:dyDescent="0.2">
      <c r="A25" s="327">
        <f t="shared" si="0"/>
        <v>0</v>
      </c>
      <c r="B25">
        <f t="shared" si="1"/>
        <v>1</v>
      </c>
      <c r="C25">
        <f t="shared" si="2"/>
        <v>1</v>
      </c>
      <c r="D25">
        <f t="shared" si="3"/>
        <v>0</v>
      </c>
      <c r="E25" s="96">
        <f t="shared" si="5"/>
        <v>0</v>
      </c>
      <c r="F25" s="330" t="s">
        <v>699</v>
      </c>
      <c r="G25" s="331">
        <v>12</v>
      </c>
      <c r="H25" s="50" t="s">
        <v>1352</v>
      </c>
      <c r="I25" s="331">
        <v>18</v>
      </c>
      <c r="J25" s="50" t="s">
        <v>1361</v>
      </c>
      <c r="K25" s="332">
        <f>1.1875*25.4</f>
        <v>30.162499999999998</v>
      </c>
      <c r="L25" s="337">
        <f t="shared" si="4"/>
        <v>1.5</v>
      </c>
    </row>
    <row r="26" spans="1:19" x14ac:dyDescent="0.2">
      <c r="A26" s="327">
        <f t="shared" si="0"/>
        <v>0</v>
      </c>
      <c r="B26">
        <f t="shared" si="1"/>
        <v>1</v>
      </c>
      <c r="C26">
        <f t="shared" si="2"/>
        <v>1</v>
      </c>
      <c r="D26">
        <f t="shared" si="3"/>
        <v>0</v>
      </c>
      <c r="E26" s="96">
        <f t="shared" si="5"/>
        <v>0</v>
      </c>
      <c r="F26" s="330" t="s">
        <v>699</v>
      </c>
      <c r="G26" s="331">
        <v>12</v>
      </c>
      <c r="H26" s="50" t="s">
        <v>1352</v>
      </c>
      <c r="I26" s="331">
        <v>19</v>
      </c>
      <c r="J26" s="50" t="s">
        <v>1362</v>
      </c>
      <c r="K26" s="328">
        <f>1.25*25.4</f>
        <v>31.75</v>
      </c>
      <c r="L26" s="337">
        <f t="shared" si="4"/>
        <v>1.5833333333333333</v>
      </c>
    </row>
    <row r="27" spans="1:19" ht="13.5" thickBot="1" x14ac:dyDescent="0.25">
      <c r="A27" s="327">
        <f t="shared" si="0"/>
        <v>0</v>
      </c>
      <c r="B27">
        <f t="shared" si="1"/>
        <v>1</v>
      </c>
      <c r="C27">
        <f t="shared" si="2"/>
        <v>1</v>
      </c>
      <c r="D27">
        <f t="shared" si="3"/>
        <v>0</v>
      </c>
      <c r="E27" s="96">
        <f t="shared" si="5"/>
        <v>0</v>
      </c>
      <c r="F27" s="341" t="s">
        <v>699</v>
      </c>
      <c r="G27" s="342">
        <v>12</v>
      </c>
      <c r="H27" s="53" t="s">
        <v>1352</v>
      </c>
      <c r="I27" s="342">
        <v>20</v>
      </c>
      <c r="J27" s="53" t="s">
        <v>1363</v>
      </c>
      <c r="K27" s="343">
        <f>1.3125*25.4</f>
        <v>33.337499999999999</v>
      </c>
      <c r="L27" s="344">
        <f t="shared" si="4"/>
        <v>1.6666666666666667</v>
      </c>
    </row>
    <row r="28" spans="1:19" ht="13.5" thickTop="1" x14ac:dyDescent="0.2">
      <c r="A28" s="345">
        <f t="shared" ref="A28:A37" si="6">IF(F28=quote59,1,0)</f>
        <v>1</v>
      </c>
      <c r="B28" s="346">
        <f t="shared" ref="B28:B37" si="7">IF(AND($L28&gt;=$A$8,$L28&lt;=$A$9),1,0)</f>
        <v>0</v>
      </c>
      <c r="C28">
        <f>IF(D28=1,1,IF(AND($A$1&lt;=$K28,K28&lt;&gt;20),1,0))</f>
        <v>0</v>
      </c>
      <c r="D28" s="346">
        <f t="shared" si="3"/>
        <v>0</v>
      </c>
      <c r="E28" s="96">
        <f t="shared" si="5"/>
        <v>0</v>
      </c>
      <c r="F28" s="347" t="s">
        <v>698</v>
      </c>
      <c r="G28" s="348">
        <v>12</v>
      </c>
      <c r="H28" s="349" t="s">
        <v>1352</v>
      </c>
      <c r="I28" s="471">
        <v>14</v>
      </c>
      <c r="J28" s="472" t="s">
        <v>1499</v>
      </c>
      <c r="K28" s="473">
        <v>20</v>
      </c>
      <c r="L28" s="474">
        <f t="shared" ref="L28:L37" si="8">+I28/G28</f>
        <v>1.1666666666666667</v>
      </c>
    </row>
    <row r="29" spans="1:19" x14ac:dyDescent="0.2">
      <c r="A29" s="327">
        <f>IF(F29=quote59,1,0)</f>
        <v>1</v>
      </c>
      <c r="B29">
        <f t="shared" si="7"/>
        <v>0</v>
      </c>
      <c r="C29">
        <f t="shared" ref="C29:C94" si="9">IF(D29=1,1,IF(AND($A$1&lt;=$K29,K29&lt;&gt;20),1,0))</f>
        <v>0</v>
      </c>
      <c r="D29">
        <f>IF(AND(quote76=20,K29=20),1,0)</f>
        <v>0</v>
      </c>
      <c r="E29" s="96">
        <f>IF(D29=1,MIN(A29:D29),MIN(A29:C29))</f>
        <v>0</v>
      </c>
      <c r="F29" s="330" t="s">
        <v>698</v>
      </c>
      <c r="G29" s="331">
        <v>12</v>
      </c>
      <c r="H29" s="50" t="s">
        <v>1352</v>
      </c>
      <c r="I29" s="331">
        <v>15</v>
      </c>
      <c r="J29" s="50" t="s">
        <v>1464</v>
      </c>
      <c r="K29" s="339">
        <v>20</v>
      </c>
      <c r="L29" s="337">
        <f t="shared" si="8"/>
        <v>1.25</v>
      </c>
    </row>
    <row r="30" spans="1:19" x14ac:dyDescent="0.2">
      <c r="A30" s="327">
        <f t="shared" si="6"/>
        <v>1</v>
      </c>
      <c r="B30">
        <f t="shared" si="7"/>
        <v>1</v>
      </c>
      <c r="C30">
        <f t="shared" si="9"/>
        <v>0</v>
      </c>
      <c r="D30">
        <f t="shared" si="3"/>
        <v>0</v>
      </c>
      <c r="E30" s="96">
        <f t="shared" si="5"/>
        <v>0</v>
      </c>
      <c r="F30" s="330" t="s">
        <v>698</v>
      </c>
      <c r="G30" s="331">
        <v>12</v>
      </c>
      <c r="H30" s="50" t="s">
        <v>1352</v>
      </c>
      <c r="I30" s="331">
        <v>16</v>
      </c>
      <c r="J30" s="50" t="s">
        <v>1465</v>
      </c>
      <c r="K30" s="339">
        <v>20</v>
      </c>
      <c r="L30" s="337">
        <f t="shared" si="8"/>
        <v>1.3333333333333333</v>
      </c>
    </row>
    <row r="31" spans="1:19" x14ac:dyDescent="0.2">
      <c r="A31" s="327">
        <f t="shared" si="6"/>
        <v>1</v>
      </c>
      <c r="B31">
        <f t="shared" si="7"/>
        <v>1</v>
      </c>
      <c r="C31">
        <f t="shared" si="9"/>
        <v>0</v>
      </c>
      <c r="D31">
        <f t="shared" si="3"/>
        <v>0</v>
      </c>
      <c r="E31" s="96">
        <f t="shared" si="5"/>
        <v>0</v>
      </c>
      <c r="F31" s="330" t="s">
        <v>698</v>
      </c>
      <c r="G31" s="331">
        <v>12</v>
      </c>
      <c r="H31" s="50" t="s">
        <v>1352</v>
      </c>
      <c r="I31" s="331">
        <v>17</v>
      </c>
      <c r="J31" s="50" t="s">
        <v>1466</v>
      </c>
      <c r="K31" s="339">
        <v>20</v>
      </c>
      <c r="L31" s="337">
        <f t="shared" si="8"/>
        <v>1.4166666666666667</v>
      </c>
    </row>
    <row r="32" spans="1:19" x14ac:dyDescent="0.2">
      <c r="A32" s="327">
        <f t="shared" si="6"/>
        <v>1</v>
      </c>
      <c r="B32">
        <f t="shared" si="7"/>
        <v>1</v>
      </c>
      <c r="C32">
        <f t="shared" si="9"/>
        <v>0</v>
      </c>
      <c r="D32">
        <f t="shared" si="3"/>
        <v>0</v>
      </c>
      <c r="E32" s="96">
        <f t="shared" si="5"/>
        <v>0</v>
      </c>
      <c r="F32" s="330" t="s">
        <v>698</v>
      </c>
      <c r="G32" s="331">
        <v>12</v>
      </c>
      <c r="H32" s="50" t="s">
        <v>1352</v>
      </c>
      <c r="I32" s="331">
        <v>18</v>
      </c>
      <c r="J32" s="50" t="s">
        <v>1467</v>
      </c>
      <c r="K32" s="339">
        <v>20</v>
      </c>
      <c r="L32" s="337">
        <f t="shared" si="8"/>
        <v>1.5</v>
      </c>
    </row>
    <row r="33" spans="1:12" x14ac:dyDescent="0.2">
      <c r="A33" s="327">
        <f t="shared" si="6"/>
        <v>1</v>
      </c>
      <c r="B33">
        <f t="shared" si="7"/>
        <v>1</v>
      </c>
      <c r="C33">
        <f t="shared" si="9"/>
        <v>0</v>
      </c>
      <c r="D33">
        <f t="shared" si="3"/>
        <v>0</v>
      </c>
      <c r="E33" s="96">
        <f t="shared" si="5"/>
        <v>0</v>
      </c>
      <c r="F33" s="330" t="s">
        <v>698</v>
      </c>
      <c r="G33" s="331">
        <v>12</v>
      </c>
      <c r="H33" s="50" t="s">
        <v>1352</v>
      </c>
      <c r="I33" s="331">
        <v>19</v>
      </c>
      <c r="J33" s="50" t="s">
        <v>1468</v>
      </c>
      <c r="K33" s="339">
        <v>20</v>
      </c>
      <c r="L33" s="337">
        <f t="shared" si="8"/>
        <v>1.5833333333333333</v>
      </c>
    </row>
    <row r="34" spans="1:12" x14ac:dyDescent="0.2">
      <c r="A34" s="327">
        <f t="shared" si="6"/>
        <v>1</v>
      </c>
      <c r="B34">
        <f t="shared" si="7"/>
        <v>1</v>
      </c>
      <c r="C34">
        <f t="shared" si="9"/>
        <v>0</v>
      </c>
      <c r="D34">
        <f t="shared" si="3"/>
        <v>0</v>
      </c>
      <c r="E34" s="96">
        <f t="shared" si="5"/>
        <v>0</v>
      </c>
      <c r="F34" s="330" t="s">
        <v>698</v>
      </c>
      <c r="G34" s="331">
        <v>12</v>
      </c>
      <c r="H34" s="50" t="s">
        <v>1352</v>
      </c>
      <c r="I34" s="331">
        <v>20</v>
      </c>
      <c r="J34" s="50" t="s">
        <v>1469</v>
      </c>
      <c r="K34" s="339">
        <v>20</v>
      </c>
      <c r="L34" s="337">
        <f t="shared" si="8"/>
        <v>1.6666666666666667</v>
      </c>
    </row>
    <row r="35" spans="1:12" x14ac:dyDescent="0.2">
      <c r="A35" s="327">
        <f t="shared" si="6"/>
        <v>1</v>
      </c>
      <c r="B35">
        <f t="shared" si="7"/>
        <v>1</v>
      </c>
      <c r="C35">
        <f t="shared" si="9"/>
        <v>0</v>
      </c>
      <c r="D35">
        <f t="shared" si="3"/>
        <v>0</v>
      </c>
      <c r="E35" s="96">
        <f t="shared" si="5"/>
        <v>0</v>
      </c>
      <c r="F35" s="330" t="s">
        <v>698</v>
      </c>
      <c r="G35" s="331">
        <v>12</v>
      </c>
      <c r="H35" s="50" t="s">
        <v>1352</v>
      </c>
      <c r="I35" s="331">
        <v>21</v>
      </c>
      <c r="J35" s="50" t="s">
        <v>1470</v>
      </c>
      <c r="K35" s="339">
        <v>20</v>
      </c>
      <c r="L35" s="337">
        <f t="shared" si="8"/>
        <v>1.75</v>
      </c>
    </row>
    <row r="36" spans="1:12" x14ac:dyDescent="0.2">
      <c r="A36" s="327">
        <f t="shared" si="6"/>
        <v>1</v>
      </c>
      <c r="B36">
        <f t="shared" si="7"/>
        <v>1</v>
      </c>
      <c r="C36">
        <f t="shared" si="9"/>
        <v>0</v>
      </c>
      <c r="D36">
        <f t="shared" si="3"/>
        <v>0</v>
      </c>
      <c r="E36" s="96">
        <f t="shared" si="5"/>
        <v>0</v>
      </c>
      <c r="F36" s="330" t="s">
        <v>698</v>
      </c>
      <c r="G36" s="331">
        <v>12</v>
      </c>
      <c r="H36" s="50" t="s">
        <v>1352</v>
      </c>
      <c r="I36" s="331">
        <v>22</v>
      </c>
      <c r="J36" s="50" t="s">
        <v>1471</v>
      </c>
      <c r="K36" s="339">
        <v>20</v>
      </c>
      <c r="L36" s="337">
        <f t="shared" si="8"/>
        <v>1.8333333333333333</v>
      </c>
    </row>
    <row r="37" spans="1:12" x14ac:dyDescent="0.2">
      <c r="A37" s="327">
        <f t="shared" si="6"/>
        <v>1</v>
      </c>
      <c r="B37">
        <f t="shared" si="7"/>
        <v>1</v>
      </c>
      <c r="C37">
        <f t="shared" si="9"/>
        <v>0</v>
      </c>
      <c r="D37">
        <f t="shared" si="3"/>
        <v>0</v>
      </c>
      <c r="E37" s="96">
        <f t="shared" si="5"/>
        <v>0</v>
      </c>
      <c r="F37" s="330" t="s">
        <v>698</v>
      </c>
      <c r="G37" s="331">
        <v>12</v>
      </c>
      <c r="H37" s="50" t="s">
        <v>1352</v>
      </c>
      <c r="I37" s="331">
        <v>30</v>
      </c>
      <c r="J37" s="50" t="s">
        <v>1472</v>
      </c>
      <c r="K37" s="339">
        <v>20</v>
      </c>
      <c r="L37" s="337">
        <f t="shared" si="8"/>
        <v>2.5</v>
      </c>
    </row>
    <row r="38" spans="1:12" x14ac:dyDescent="0.2">
      <c r="A38" s="327">
        <f t="shared" si="0"/>
        <v>1</v>
      </c>
      <c r="B38">
        <f t="shared" si="1"/>
        <v>0</v>
      </c>
      <c r="C38">
        <f t="shared" si="9"/>
        <v>1</v>
      </c>
      <c r="D38">
        <f t="shared" si="3"/>
        <v>0</v>
      </c>
      <c r="E38" s="96">
        <f t="shared" si="5"/>
        <v>0</v>
      </c>
      <c r="F38" s="330" t="s">
        <v>698</v>
      </c>
      <c r="G38" s="331">
        <v>12</v>
      </c>
      <c r="H38" s="50" t="s">
        <v>1352</v>
      </c>
      <c r="I38" s="331">
        <v>12</v>
      </c>
      <c r="J38" s="50" t="s">
        <v>1355</v>
      </c>
      <c r="K38" s="332">
        <f>3/4*25.4</f>
        <v>19.049999999999997</v>
      </c>
      <c r="L38" s="337">
        <f t="shared" si="4"/>
        <v>1</v>
      </c>
    </row>
    <row r="39" spans="1:12" x14ac:dyDescent="0.2">
      <c r="A39" s="327">
        <f t="shared" si="0"/>
        <v>1</v>
      </c>
      <c r="B39">
        <f t="shared" si="1"/>
        <v>0</v>
      </c>
      <c r="C39">
        <f t="shared" si="9"/>
        <v>1</v>
      </c>
      <c r="D39">
        <f t="shared" si="3"/>
        <v>0</v>
      </c>
      <c r="E39" s="96">
        <f t="shared" si="5"/>
        <v>0</v>
      </c>
      <c r="F39" s="330" t="s">
        <v>698</v>
      </c>
      <c r="G39" s="331">
        <v>12</v>
      </c>
      <c r="H39" s="50" t="s">
        <v>1352</v>
      </c>
      <c r="I39" s="331">
        <v>13</v>
      </c>
      <c r="J39" s="50" t="s">
        <v>1356</v>
      </c>
      <c r="K39" s="332">
        <f>3/4*25.4</f>
        <v>19.049999999999997</v>
      </c>
      <c r="L39" s="337">
        <f t="shared" si="4"/>
        <v>1.0833333333333333</v>
      </c>
    </row>
    <row r="40" spans="1:12" x14ac:dyDescent="0.2">
      <c r="A40" s="327">
        <f t="shared" si="0"/>
        <v>1</v>
      </c>
      <c r="B40">
        <f t="shared" si="1"/>
        <v>0</v>
      </c>
      <c r="C40">
        <f t="shared" si="9"/>
        <v>1</v>
      </c>
      <c r="D40">
        <f t="shared" si="3"/>
        <v>0</v>
      </c>
      <c r="E40" s="96">
        <f t="shared" si="5"/>
        <v>0</v>
      </c>
      <c r="F40" s="330" t="s">
        <v>698</v>
      </c>
      <c r="G40" s="331">
        <v>12</v>
      </c>
      <c r="H40" s="50" t="s">
        <v>1352</v>
      </c>
      <c r="I40" s="331">
        <v>14</v>
      </c>
      <c r="J40" s="50" t="s">
        <v>1357</v>
      </c>
      <c r="K40" s="332">
        <f>7/8*25.4</f>
        <v>22.224999999999998</v>
      </c>
      <c r="L40" s="337">
        <f t="shared" si="4"/>
        <v>1.1666666666666667</v>
      </c>
    </row>
    <row r="41" spans="1:12" x14ac:dyDescent="0.2">
      <c r="A41" s="327">
        <f t="shared" si="0"/>
        <v>1</v>
      </c>
      <c r="B41">
        <f t="shared" si="1"/>
        <v>0</v>
      </c>
      <c r="C41">
        <f t="shared" si="9"/>
        <v>1</v>
      </c>
      <c r="D41">
        <f t="shared" si="3"/>
        <v>0</v>
      </c>
      <c r="E41" s="96">
        <f t="shared" si="5"/>
        <v>0</v>
      </c>
      <c r="F41" s="330" t="s">
        <v>698</v>
      </c>
      <c r="G41" s="331">
        <v>12</v>
      </c>
      <c r="H41" s="50" t="s">
        <v>1352</v>
      </c>
      <c r="I41" s="331">
        <v>15</v>
      </c>
      <c r="J41" s="50" t="s">
        <v>1358</v>
      </c>
      <c r="K41" s="332">
        <f>7/8*25.4</f>
        <v>22.224999999999998</v>
      </c>
      <c r="L41" s="337">
        <f t="shared" si="4"/>
        <v>1.25</v>
      </c>
    </row>
    <row r="42" spans="1:12" x14ac:dyDescent="0.2">
      <c r="A42" s="327">
        <f t="shared" si="0"/>
        <v>1</v>
      </c>
      <c r="B42">
        <f t="shared" si="1"/>
        <v>1</v>
      </c>
      <c r="C42">
        <f t="shared" si="9"/>
        <v>1</v>
      </c>
      <c r="D42">
        <f t="shared" si="3"/>
        <v>0</v>
      </c>
      <c r="E42" s="96">
        <f t="shared" si="5"/>
        <v>1</v>
      </c>
      <c r="F42" s="330" t="s">
        <v>698</v>
      </c>
      <c r="G42" s="331">
        <v>12</v>
      </c>
      <c r="H42" s="50" t="s">
        <v>1352</v>
      </c>
      <c r="I42" s="331">
        <v>16</v>
      </c>
      <c r="J42" s="50" t="s">
        <v>1359</v>
      </c>
      <c r="K42" s="333">
        <f>15/16*25.4</f>
        <v>23.8125</v>
      </c>
      <c r="L42" s="337">
        <f t="shared" si="4"/>
        <v>1.3333333333333333</v>
      </c>
    </row>
    <row r="43" spans="1:12" x14ac:dyDescent="0.2">
      <c r="A43" s="327">
        <f t="shared" si="0"/>
        <v>1</v>
      </c>
      <c r="B43">
        <f t="shared" si="1"/>
        <v>1</v>
      </c>
      <c r="C43">
        <f t="shared" si="9"/>
        <v>1</v>
      </c>
      <c r="D43">
        <f t="shared" si="3"/>
        <v>0</v>
      </c>
      <c r="E43" s="96">
        <f t="shared" si="5"/>
        <v>1</v>
      </c>
      <c r="F43" s="330" t="s">
        <v>698</v>
      </c>
      <c r="G43" s="331">
        <v>12</v>
      </c>
      <c r="H43" s="50" t="s">
        <v>1352</v>
      </c>
      <c r="I43" s="331">
        <v>17</v>
      </c>
      <c r="J43" s="50" t="s">
        <v>1360</v>
      </c>
      <c r="K43" s="332">
        <f>1.0625*25.4</f>
        <v>26.987499999999997</v>
      </c>
      <c r="L43" s="337">
        <f t="shared" si="4"/>
        <v>1.4166666666666667</v>
      </c>
    </row>
    <row r="44" spans="1:12" x14ac:dyDescent="0.2">
      <c r="A44" s="327">
        <f t="shared" si="0"/>
        <v>1</v>
      </c>
      <c r="B44">
        <f t="shared" si="1"/>
        <v>1</v>
      </c>
      <c r="C44">
        <f t="shared" si="9"/>
        <v>1</v>
      </c>
      <c r="D44">
        <f t="shared" si="3"/>
        <v>0</v>
      </c>
      <c r="E44" s="96">
        <f t="shared" si="5"/>
        <v>1</v>
      </c>
      <c r="F44" s="330" t="s">
        <v>698</v>
      </c>
      <c r="G44" s="331">
        <v>12</v>
      </c>
      <c r="H44" s="50" t="s">
        <v>1352</v>
      </c>
      <c r="I44" s="331">
        <v>18</v>
      </c>
      <c r="J44" s="50" t="s">
        <v>1361</v>
      </c>
      <c r="K44" s="332">
        <f>1.1875*25.4</f>
        <v>30.162499999999998</v>
      </c>
      <c r="L44" s="337">
        <f t="shared" si="4"/>
        <v>1.5</v>
      </c>
    </row>
    <row r="45" spans="1:12" x14ac:dyDescent="0.2">
      <c r="A45" s="327">
        <f t="shared" si="0"/>
        <v>1</v>
      </c>
      <c r="B45">
        <f t="shared" si="1"/>
        <v>1</v>
      </c>
      <c r="C45">
        <f t="shared" si="9"/>
        <v>1</v>
      </c>
      <c r="D45">
        <f t="shared" si="3"/>
        <v>0</v>
      </c>
      <c r="E45" s="96">
        <f t="shared" si="5"/>
        <v>1</v>
      </c>
      <c r="F45" s="330" t="s">
        <v>698</v>
      </c>
      <c r="G45" s="331">
        <v>12</v>
      </c>
      <c r="H45" s="50" t="s">
        <v>1352</v>
      </c>
      <c r="I45" s="331">
        <v>19</v>
      </c>
      <c r="J45" s="50" t="s">
        <v>1362</v>
      </c>
      <c r="K45" s="328">
        <f>1.25*25.4</f>
        <v>31.75</v>
      </c>
      <c r="L45" s="337">
        <f t="shared" si="4"/>
        <v>1.5833333333333333</v>
      </c>
    </row>
    <row r="46" spans="1:12" x14ac:dyDescent="0.2">
      <c r="A46" s="327">
        <f t="shared" si="0"/>
        <v>1</v>
      </c>
      <c r="B46">
        <f t="shared" si="1"/>
        <v>1</v>
      </c>
      <c r="C46">
        <f t="shared" si="9"/>
        <v>1</v>
      </c>
      <c r="D46">
        <f t="shared" si="3"/>
        <v>0</v>
      </c>
      <c r="E46" s="96">
        <f t="shared" si="5"/>
        <v>1</v>
      </c>
      <c r="F46" s="330" t="s">
        <v>698</v>
      </c>
      <c r="G46" s="331">
        <v>12</v>
      </c>
      <c r="H46" s="50" t="s">
        <v>1352</v>
      </c>
      <c r="I46" s="331">
        <v>20</v>
      </c>
      <c r="J46" s="50" t="s">
        <v>1363</v>
      </c>
      <c r="K46" s="328">
        <f>1.3125*25.4</f>
        <v>33.337499999999999</v>
      </c>
      <c r="L46" s="337">
        <f t="shared" si="4"/>
        <v>1.6666666666666667</v>
      </c>
    </row>
    <row r="47" spans="1:12" x14ac:dyDescent="0.2">
      <c r="A47" s="327">
        <f t="shared" si="0"/>
        <v>1</v>
      </c>
      <c r="B47">
        <f t="shared" si="1"/>
        <v>1</v>
      </c>
      <c r="C47">
        <f t="shared" si="9"/>
        <v>1</v>
      </c>
      <c r="D47">
        <f t="shared" si="3"/>
        <v>0</v>
      </c>
      <c r="E47" s="96">
        <f t="shared" si="5"/>
        <v>1</v>
      </c>
      <c r="F47" s="330" t="s">
        <v>698</v>
      </c>
      <c r="G47" s="331">
        <v>12</v>
      </c>
      <c r="H47" s="50" t="s">
        <v>1352</v>
      </c>
      <c r="I47" s="331">
        <v>21</v>
      </c>
      <c r="J47" s="50" t="s">
        <v>1364</v>
      </c>
      <c r="K47" s="328">
        <f>1.25*25.4</f>
        <v>31.75</v>
      </c>
      <c r="L47" s="337">
        <f t="shared" si="4"/>
        <v>1.75</v>
      </c>
    </row>
    <row r="48" spans="1:12" x14ac:dyDescent="0.2">
      <c r="A48" s="327">
        <f t="shared" si="0"/>
        <v>1</v>
      </c>
      <c r="B48">
        <f t="shared" si="1"/>
        <v>1</v>
      </c>
      <c r="C48">
        <f t="shared" si="9"/>
        <v>1</v>
      </c>
      <c r="D48">
        <f t="shared" si="3"/>
        <v>0</v>
      </c>
      <c r="E48" s="96">
        <f t="shared" si="5"/>
        <v>1</v>
      </c>
      <c r="F48" s="330" t="s">
        <v>698</v>
      </c>
      <c r="G48" s="331">
        <v>12</v>
      </c>
      <c r="H48" s="50" t="s">
        <v>1352</v>
      </c>
      <c r="I48" s="331">
        <v>22</v>
      </c>
      <c r="J48" s="50" t="s">
        <v>1365</v>
      </c>
      <c r="K48" s="328">
        <f>1.375*25.4</f>
        <v>34.924999999999997</v>
      </c>
      <c r="L48" s="337">
        <f t="shared" si="4"/>
        <v>1.8333333333333333</v>
      </c>
    </row>
    <row r="49" spans="1:12" x14ac:dyDescent="0.2">
      <c r="A49" s="327">
        <f t="shared" si="0"/>
        <v>1</v>
      </c>
      <c r="B49">
        <f t="shared" si="1"/>
        <v>1</v>
      </c>
      <c r="C49">
        <f t="shared" si="9"/>
        <v>1</v>
      </c>
      <c r="D49">
        <f t="shared" si="3"/>
        <v>0</v>
      </c>
      <c r="E49" s="96">
        <f t="shared" si="5"/>
        <v>1</v>
      </c>
      <c r="F49" s="330" t="s">
        <v>698</v>
      </c>
      <c r="G49" s="331">
        <v>12</v>
      </c>
      <c r="H49" s="50" t="s">
        <v>1352</v>
      </c>
      <c r="I49" s="331">
        <v>23</v>
      </c>
      <c r="J49" s="50" t="s">
        <v>1366</v>
      </c>
      <c r="K49" s="328">
        <f>1.375*25.4</f>
        <v>34.924999999999997</v>
      </c>
      <c r="L49" s="337">
        <f t="shared" si="4"/>
        <v>1.9166666666666667</v>
      </c>
    </row>
    <row r="50" spans="1:12" x14ac:dyDescent="0.2">
      <c r="A50" s="327">
        <f t="shared" si="0"/>
        <v>1</v>
      </c>
      <c r="B50">
        <f t="shared" si="1"/>
        <v>1</v>
      </c>
      <c r="C50">
        <f t="shared" si="9"/>
        <v>1</v>
      </c>
      <c r="D50">
        <f t="shared" ref="D50:D81" si="10">IF(AND(quote76=20,K50=20),1,0)</f>
        <v>0</v>
      </c>
      <c r="E50" s="96">
        <f t="shared" si="5"/>
        <v>1</v>
      </c>
      <c r="F50" s="330" t="s">
        <v>698</v>
      </c>
      <c r="G50" s="331">
        <v>12</v>
      </c>
      <c r="H50" s="50" t="s">
        <v>1352</v>
      </c>
      <c r="I50" s="331">
        <v>24</v>
      </c>
      <c r="J50" s="50" t="s">
        <v>1367</v>
      </c>
      <c r="K50" s="328">
        <f>1.5625*25.4</f>
        <v>39.6875</v>
      </c>
      <c r="L50" s="337">
        <f t="shared" si="4"/>
        <v>2</v>
      </c>
    </row>
    <row r="51" spans="1:12" x14ac:dyDescent="0.2">
      <c r="A51" s="327">
        <f t="shared" si="0"/>
        <v>1</v>
      </c>
      <c r="B51">
        <f t="shared" si="1"/>
        <v>1</v>
      </c>
      <c r="C51">
        <f t="shared" si="9"/>
        <v>1</v>
      </c>
      <c r="D51">
        <f t="shared" si="10"/>
        <v>0</v>
      </c>
      <c r="E51" s="96">
        <f t="shared" si="5"/>
        <v>1</v>
      </c>
      <c r="F51" s="330" t="s">
        <v>698</v>
      </c>
      <c r="G51" s="331">
        <v>12</v>
      </c>
      <c r="H51" s="50" t="s">
        <v>1352</v>
      </c>
      <c r="I51" s="331">
        <v>25</v>
      </c>
      <c r="J51" s="50" t="s">
        <v>1456</v>
      </c>
      <c r="K51" s="328">
        <f t="shared" ref="K51:K56" si="11">1.625*25.4</f>
        <v>41.274999999999999</v>
      </c>
      <c r="L51" s="337">
        <f t="shared" si="4"/>
        <v>2.0833333333333335</v>
      </c>
    </row>
    <row r="52" spans="1:12" x14ac:dyDescent="0.2">
      <c r="A52" s="327">
        <f t="shared" si="0"/>
        <v>1</v>
      </c>
      <c r="B52">
        <f t="shared" si="1"/>
        <v>1</v>
      </c>
      <c r="C52">
        <f t="shared" si="9"/>
        <v>1</v>
      </c>
      <c r="D52">
        <f t="shared" si="10"/>
        <v>0</v>
      </c>
      <c r="E52" s="96">
        <f t="shared" si="5"/>
        <v>1</v>
      </c>
      <c r="F52" s="330" t="s">
        <v>698</v>
      </c>
      <c r="G52" s="331">
        <v>12</v>
      </c>
      <c r="H52" s="50" t="s">
        <v>1352</v>
      </c>
      <c r="I52" s="331">
        <v>26</v>
      </c>
      <c r="J52" s="50" t="s">
        <v>1457</v>
      </c>
      <c r="K52" s="328">
        <f t="shared" si="11"/>
        <v>41.274999999999999</v>
      </c>
      <c r="L52" s="337">
        <f t="shared" si="4"/>
        <v>2.1666666666666665</v>
      </c>
    </row>
    <row r="53" spans="1:12" x14ac:dyDescent="0.2">
      <c r="A53" s="327">
        <f t="shared" si="0"/>
        <v>1</v>
      </c>
      <c r="B53">
        <f t="shared" si="1"/>
        <v>1</v>
      </c>
      <c r="C53">
        <f t="shared" si="9"/>
        <v>1</v>
      </c>
      <c r="D53">
        <f t="shared" si="10"/>
        <v>0</v>
      </c>
      <c r="E53" s="96">
        <f t="shared" si="5"/>
        <v>1</v>
      </c>
      <c r="F53" s="330" t="s">
        <v>698</v>
      </c>
      <c r="G53" s="331">
        <v>12</v>
      </c>
      <c r="H53" s="50" t="s">
        <v>1352</v>
      </c>
      <c r="I53" s="331">
        <v>27</v>
      </c>
      <c r="J53" s="50" t="s">
        <v>1458</v>
      </c>
      <c r="K53" s="328">
        <f t="shared" si="11"/>
        <v>41.274999999999999</v>
      </c>
      <c r="L53" s="337">
        <f t="shared" si="4"/>
        <v>2.25</v>
      </c>
    </row>
    <row r="54" spans="1:12" x14ac:dyDescent="0.2">
      <c r="A54" s="327">
        <f t="shared" si="0"/>
        <v>1</v>
      </c>
      <c r="B54">
        <f t="shared" si="1"/>
        <v>1</v>
      </c>
      <c r="C54">
        <f t="shared" si="9"/>
        <v>1</v>
      </c>
      <c r="D54">
        <f t="shared" si="10"/>
        <v>0</v>
      </c>
      <c r="E54" s="96">
        <f t="shared" si="5"/>
        <v>1</v>
      </c>
      <c r="F54" s="330" t="s">
        <v>698</v>
      </c>
      <c r="G54" s="331">
        <v>12</v>
      </c>
      <c r="H54" s="50" t="s">
        <v>1352</v>
      </c>
      <c r="I54" s="331">
        <v>28</v>
      </c>
      <c r="J54" s="50" t="s">
        <v>1459</v>
      </c>
      <c r="K54" s="328">
        <f t="shared" si="11"/>
        <v>41.274999999999999</v>
      </c>
      <c r="L54" s="337">
        <f t="shared" si="4"/>
        <v>2.3333333333333335</v>
      </c>
    </row>
    <row r="55" spans="1:12" x14ac:dyDescent="0.2">
      <c r="A55" s="327">
        <f t="shared" si="0"/>
        <v>1</v>
      </c>
      <c r="B55">
        <f t="shared" si="1"/>
        <v>1</v>
      </c>
      <c r="C55">
        <f t="shared" si="9"/>
        <v>1</v>
      </c>
      <c r="D55">
        <f t="shared" si="10"/>
        <v>0</v>
      </c>
      <c r="E55" s="96">
        <f t="shared" si="5"/>
        <v>1</v>
      </c>
      <c r="F55" s="330" t="s">
        <v>698</v>
      </c>
      <c r="G55" s="331">
        <v>12</v>
      </c>
      <c r="H55" s="50" t="s">
        <v>1352</v>
      </c>
      <c r="I55" s="331">
        <v>30</v>
      </c>
      <c r="J55" s="50" t="s">
        <v>1460</v>
      </c>
      <c r="K55" s="328">
        <f t="shared" si="11"/>
        <v>41.274999999999999</v>
      </c>
      <c r="L55" s="337">
        <f t="shared" si="4"/>
        <v>2.5</v>
      </c>
    </row>
    <row r="56" spans="1:12" ht="13.5" thickBot="1" x14ac:dyDescent="0.25">
      <c r="A56" s="327">
        <f t="shared" ref="A56:A66" si="12">IF(F56=quote59,1,0)</f>
        <v>1</v>
      </c>
      <c r="B56">
        <f t="shared" si="1"/>
        <v>0</v>
      </c>
      <c r="C56">
        <f t="shared" si="9"/>
        <v>1</v>
      </c>
      <c r="D56" s="404">
        <f t="shared" si="10"/>
        <v>0</v>
      </c>
      <c r="E56" s="411">
        <f t="shared" si="5"/>
        <v>0</v>
      </c>
      <c r="F56" s="405" t="s">
        <v>698</v>
      </c>
      <c r="G56" s="406">
        <v>12</v>
      </c>
      <c r="H56" s="407" t="s">
        <v>1352</v>
      </c>
      <c r="I56" s="406">
        <v>32</v>
      </c>
      <c r="J56" s="407" t="s">
        <v>1481</v>
      </c>
      <c r="K56" s="408">
        <f t="shared" si="11"/>
        <v>41.274999999999999</v>
      </c>
      <c r="L56" s="409">
        <f t="shared" ref="L56:L66" si="13">+I56/G56</f>
        <v>2.6666666666666665</v>
      </c>
    </row>
    <row r="57" spans="1:12" ht="13.5" thickTop="1" x14ac:dyDescent="0.2">
      <c r="A57" s="345">
        <f t="shared" si="12"/>
        <v>0</v>
      </c>
      <c r="B57" s="346">
        <f t="shared" ref="B57:B90" si="14">IF(AND($L57&gt;=$A$8,$L57&lt;=$A$9),1,0)</f>
        <v>0</v>
      </c>
      <c r="C57">
        <f t="shared" si="9"/>
        <v>0</v>
      </c>
      <c r="D57">
        <f t="shared" si="10"/>
        <v>0</v>
      </c>
      <c r="E57" s="224">
        <f t="shared" si="5"/>
        <v>0</v>
      </c>
      <c r="F57" s="400" t="s">
        <v>702</v>
      </c>
      <c r="G57" s="401">
        <v>12</v>
      </c>
      <c r="H57" s="318" t="s">
        <v>1352</v>
      </c>
      <c r="I57" s="401">
        <v>14</v>
      </c>
      <c r="J57" s="475" t="s">
        <v>1499</v>
      </c>
      <c r="K57" s="402">
        <v>20</v>
      </c>
      <c r="L57" s="403">
        <f t="shared" si="13"/>
        <v>1.1666666666666667</v>
      </c>
    </row>
    <row r="58" spans="1:12" x14ac:dyDescent="0.2">
      <c r="A58" s="327">
        <f>IF(F58=quote59,1,0)</f>
        <v>0</v>
      </c>
      <c r="B58">
        <f t="shared" si="14"/>
        <v>0</v>
      </c>
      <c r="C58">
        <f>IF(D58=1,1,IF(AND($A$1&lt;=$K58,K58&lt;&gt;20),1,0))</f>
        <v>0</v>
      </c>
      <c r="D58">
        <f>IF(AND(quote76=20,K58=20),1,0)</f>
        <v>0</v>
      </c>
      <c r="E58" s="96">
        <f>IF(D58=1,MIN(A58:D58),MIN(A58:C58))</f>
        <v>0</v>
      </c>
      <c r="F58" s="330" t="s">
        <v>702</v>
      </c>
      <c r="G58" s="331">
        <v>12</v>
      </c>
      <c r="H58" s="50" t="s">
        <v>1352</v>
      </c>
      <c r="I58" s="331">
        <v>15</v>
      </c>
      <c r="J58" s="50" t="s">
        <v>1464</v>
      </c>
      <c r="K58" s="339">
        <v>20</v>
      </c>
      <c r="L58" s="337">
        <f>+I58/G58</f>
        <v>1.25</v>
      </c>
    </row>
    <row r="59" spans="1:12" x14ac:dyDescent="0.2">
      <c r="A59" s="327">
        <f t="shared" si="12"/>
        <v>0</v>
      </c>
      <c r="B59">
        <f t="shared" si="14"/>
        <v>1</v>
      </c>
      <c r="C59">
        <f t="shared" si="9"/>
        <v>0</v>
      </c>
      <c r="D59">
        <f t="shared" si="10"/>
        <v>0</v>
      </c>
      <c r="E59" s="96">
        <f t="shared" si="5"/>
        <v>0</v>
      </c>
      <c r="F59" s="330" t="s">
        <v>702</v>
      </c>
      <c r="G59" s="331">
        <v>12</v>
      </c>
      <c r="H59" s="50" t="s">
        <v>1352</v>
      </c>
      <c r="I59" s="331">
        <v>16</v>
      </c>
      <c r="J59" s="50" t="s">
        <v>1465</v>
      </c>
      <c r="K59" s="339">
        <v>20</v>
      </c>
      <c r="L59" s="337">
        <f t="shared" si="13"/>
        <v>1.3333333333333333</v>
      </c>
    </row>
    <row r="60" spans="1:12" x14ac:dyDescent="0.2">
      <c r="A60" s="327">
        <f t="shared" si="12"/>
        <v>0</v>
      </c>
      <c r="B60">
        <f t="shared" si="14"/>
        <v>1</v>
      </c>
      <c r="C60">
        <f t="shared" si="9"/>
        <v>0</v>
      </c>
      <c r="D60">
        <f t="shared" si="10"/>
        <v>0</v>
      </c>
      <c r="E60" s="96">
        <f t="shared" si="5"/>
        <v>0</v>
      </c>
      <c r="F60" s="330" t="s">
        <v>702</v>
      </c>
      <c r="G60" s="331">
        <v>12</v>
      </c>
      <c r="H60" s="50" t="s">
        <v>1352</v>
      </c>
      <c r="I60" s="331">
        <v>17</v>
      </c>
      <c r="J60" s="50" t="s">
        <v>1466</v>
      </c>
      <c r="K60" s="339">
        <v>20</v>
      </c>
      <c r="L60" s="337">
        <f t="shared" si="13"/>
        <v>1.4166666666666667</v>
      </c>
    </row>
    <row r="61" spans="1:12" x14ac:dyDescent="0.2">
      <c r="A61" s="327">
        <f t="shared" si="12"/>
        <v>0</v>
      </c>
      <c r="B61">
        <f t="shared" si="14"/>
        <v>1</v>
      </c>
      <c r="C61">
        <f t="shared" si="9"/>
        <v>0</v>
      </c>
      <c r="D61">
        <f t="shared" si="10"/>
        <v>0</v>
      </c>
      <c r="E61" s="96">
        <f t="shared" si="5"/>
        <v>0</v>
      </c>
      <c r="F61" s="330" t="s">
        <v>702</v>
      </c>
      <c r="G61" s="331">
        <v>12</v>
      </c>
      <c r="H61" s="50" t="s">
        <v>1352</v>
      </c>
      <c r="I61" s="331">
        <v>18</v>
      </c>
      <c r="J61" s="50" t="s">
        <v>1467</v>
      </c>
      <c r="K61" s="339">
        <v>20</v>
      </c>
      <c r="L61" s="337">
        <f t="shared" si="13"/>
        <v>1.5</v>
      </c>
    </row>
    <row r="62" spans="1:12" x14ac:dyDescent="0.2">
      <c r="A62" s="327">
        <f t="shared" si="12"/>
        <v>0</v>
      </c>
      <c r="B62">
        <f t="shared" si="14"/>
        <v>1</v>
      </c>
      <c r="C62">
        <f t="shared" si="9"/>
        <v>0</v>
      </c>
      <c r="D62">
        <f t="shared" si="10"/>
        <v>0</v>
      </c>
      <c r="E62" s="96">
        <f t="shared" si="5"/>
        <v>0</v>
      </c>
      <c r="F62" s="330" t="s">
        <v>702</v>
      </c>
      <c r="G62" s="331">
        <v>12</v>
      </c>
      <c r="H62" s="50" t="s">
        <v>1352</v>
      </c>
      <c r="I62" s="331">
        <v>19</v>
      </c>
      <c r="J62" s="50" t="s">
        <v>1468</v>
      </c>
      <c r="K62" s="339">
        <v>20</v>
      </c>
      <c r="L62" s="337">
        <f t="shared" si="13"/>
        <v>1.5833333333333333</v>
      </c>
    </row>
    <row r="63" spans="1:12" x14ac:dyDescent="0.2">
      <c r="A63" s="327">
        <f t="shared" si="12"/>
        <v>0</v>
      </c>
      <c r="B63">
        <f t="shared" si="14"/>
        <v>1</v>
      </c>
      <c r="C63">
        <f t="shared" si="9"/>
        <v>0</v>
      </c>
      <c r="D63">
        <f t="shared" si="10"/>
        <v>0</v>
      </c>
      <c r="E63" s="96">
        <f t="shared" si="5"/>
        <v>0</v>
      </c>
      <c r="F63" s="330" t="s">
        <v>702</v>
      </c>
      <c r="G63" s="331">
        <v>12</v>
      </c>
      <c r="H63" s="50" t="s">
        <v>1352</v>
      </c>
      <c r="I63" s="331">
        <v>20</v>
      </c>
      <c r="J63" s="50" t="s">
        <v>1469</v>
      </c>
      <c r="K63" s="339">
        <v>20</v>
      </c>
      <c r="L63" s="337">
        <f t="shared" si="13"/>
        <v>1.6666666666666667</v>
      </c>
    </row>
    <row r="64" spans="1:12" x14ac:dyDescent="0.2">
      <c r="A64" s="327">
        <f t="shared" si="12"/>
        <v>0</v>
      </c>
      <c r="B64">
        <f t="shared" si="14"/>
        <v>1</v>
      </c>
      <c r="C64">
        <f t="shared" si="9"/>
        <v>0</v>
      </c>
      <c r="D64">
        <f t="shared" si="10"/>
        <v>0</v>
      </c>
      <c r="E64" s="96">
        <f t="shared" si="5"/>
        <v>0</v>
      </c>
      <c r="F64" s="330" t="s">
        <v>702</v>
      </c>
      <c r="G64" s="331">
        <v>12</v>
      </c>
      <c r="H64" s="50" t="s">
        <v>1352</v>
      </c>
      <c r="I64" s="331">
        <v>21</v>
      </c>
      <c r="J64" s="50" t="s">
        <v>1470</v>
      </c>
      <c r="K64" s="339">
        <v>20</v>
      </c>
      <c r="L64" s="337">
        <f t="shared" si="13"/>
        <v>1.75</v>
      </c>
    </row>
    <row r="65" spans="1:12" x14ac:dyDescent="0.2">
      <c r="A65" s="327">
        <f t="shared" si="12"/>
        <v>0</v>
      </c>
      <c r="B65">
        <f t="shared" si="14"/>
        <v>1</v>
      </c>
      <c r="C65">
        <f t="shared" si="9"/>
        <v>0</v>
      </c>
      <c r="D65">
        <f t="shared" si="10"/>
        <v>0</v>
      </c>
      <c r="E65" s="96">
        <f t="shared" si="5"/>
        <v>0</v>
      </c>
      <c r="F65" s="330" t="s">
        <v>702</v>
      </c>
      <c r="G65" s="331">
        <v>12</v>
      </c>
      <c r="H65" s="50" t="s">
        <v>1352</v>
      </c>
      <c r="I65" s="331">
        <v>22</v>
      </c>
      <c r="J65" s="50" t="s">
        <v>1471</v>
      </c>
      <c r="K65" s="339">
        <v>20</v>
      </c>
      <c r="L65" s="337">
        <f t="shared" si="13"/>
        <v>1.8333333333333333</v>
      </c>
    </row>
    <row r="66" spans="1:12" x14ac:dyDescent="0.2">
      <c r="A66" s="327">
        <f t="shared" si="12"/>
        <v>0</v>
      </c>
      <c r="B66">
        <f t="shared" si="14"/>
        <v>1</v>
      </c>
      <c r="C66">
        <f t="shared" si="9"/>
        <v>0</v>
      </c>
      <c r="D66">
        <f t="shared" si="10"/>
        <v>0</v>
      </c>
      <c r="E66" s="96">
        <f t="shared" si="5"/>
        <v>0</v>
      </c>
      <c r="F66" s="330" t="s">
        <v>702</v>
      </c>
      <c r="G66" s="331">
        <v>12</v>
      </c>
      <c r="H66" s="50" t="s">
        <v>1352</v>
      </c>
      <c r="I66" s="331">
        <v>30</v>
      </c>
      <c r="J66" s="50" t="s">
        <v>1472</v>
      </c>
      <c r="K66" s="339">
        <v>20</v>
      </c>
      <c r="L66" s="337">
        <f t="shared" si="13"/>
        <v>2.5</v>
      </c>
    </row>
    <row r="67" spans="1:12" x14ac:dyDescent="0.2">
      <c r="A67" s="327">
        <f t="shared" ref="A67:A85" si="15">IF(F67=quote59,1,0)</f>
        <v>0</v>
      </c>
      <c r="B67">
        <f t="shared" si="14"/>
        <v>0</v>
      </c>
      <c r="C67">
        <f t="shared" si="9"/>
        <v>1</v>
      </c>
      <c r="D67">
        <f t="shared" si="10"/>
        <v>0</v>
      </c>
      <c r="E67" s="96">
        <f t="shared" si="5"/>
        <v>0</v>
      </c>
      <c r="F67" s="330" t="s">
        <v>702</v>
      </c>
      <c r="G67" s="331">
        <v>12</v>
      </c>
      <c r="H67" s="50" t="s">
        <v>1352</v>
      </c>
      <c r="I67" s="331">
        <v>12</v>
      </c>
      <c r="J67" s="50" t="s">
        <v>1355</v>
      </c>
      <c r="K67" s="332">
        <f>3/4*25.4</f>
        <v>19.049999999999997</v>
      </c>
      <c r="L67" s="337">
        <f t="shared" ref="L67:L85" si="16">+I67/G67</f>
        <v>1</v>
      </c>
    </row>
    <row r="68" spans="1:12" x14ac:dyDescent="0.2">
      <c r="A68" s="327">
        <f t="shared" si="15"/>
        <v>0</v>
      </c>
      <c r="B68">
        <f t="shared" si="14"/>
        <v>0</v>
      </c>
      <c r="C68">
        <f t="shared" si="9"/>
        <v>1</v>
      </c>
      <c r="D68">
        <f t="shared" si="10"/>
        <v>0</v>
      </c>
      <c r="E68" s="96">
        <f t="shared" si="5"/>
        <v>0</v>
      </c>
      <c r="F68" s="330" t="s">
        <v>702</v>
      </c>
      <c r="G68" s="331">
        <v>12</v>
      </c>
      <c r="H68" s="50" t="s">
        <v>1352</v>
      </c>
      <c r="I68" s="331">
        <v>13</v>
      </c>
      <c r="J68" s="50" t="s">
        <v>1356</v>
      </c>
      <c r="K68" s="332">
        <f>3/4*25.4</f>
        <v>19.049999999999997</v>
      </c>
      <c r="L68" s="337">
        <f t="shared" si="16"/>
        <v>1.0833333333333333</v>
      </c>
    </row>
    <row r="69" spans="1:12" x14ac:dyDescent="0.2">
      <c r="A69" s="327">
        <f t="shared" si="15"/>
        <v>0</v>
      </c>
      <c r="B69">
        <f t="shared" si="14"/>
        <v>0</v>
      </c>
      <c r="C69">
        <f t="shared" si="9"/>
        <v>1</v>
      </c>
      <c r="D69">
        <f t="shared" si="10"/>
        <v>0</v>
      </c>
      <c r="E69" s="96">
        <f t="shared" si="5"/>
        <v>0</v>
      </c>
      <c r="F69" s="330" t="s">
        <v>702</v>
      </c>
      <c r="G69" s="331">
        <v>12</v>
      </c>
      <c r="H69" s="50" t="s">
        <v>1352</v>
      </c>
      <c r="I69" s="331">
        <v>14</v>
      </c>
      <c r="J69" s="50" t="s">
        <v>1357</v>
      </c>
      <c r="K69" s="332">
        <f>7/8*25.4</f>
        <v>22.224999999999998</v>
      </c>
      <c r="L69" s="337">
        <f t="shared" si="16"/>
        <v>1.1666666666666667</v>
      </c>
    </row>
    <row r="70" spans="1:12" x14ac:dyDescent="0.2">
      <c r="A70" s="327">
        <f t="shared" si="15"/>
        <v>0</v>
      </c>
      <c r="B70">
        <f t="shared" si="14"/>
        <v>0</v>
      </c>
      <c r="C70">
        <f t="shared" si="9"/>
        <v>1</v>
      </c>
      <c r="D70">
        <f t="shared" si="10"/>
        <v>0</v>
      </c>
      <c r="E70" s="96">
        <f t="shared" si="5"/>
        <v>0</v>
      </c>
      <c r="F70" s="330" t="s">
        <v>702</v>
      </c>
      <c r="G70" s="331">
        <v>12</v>
      </c>
      <c r="H70" s="50" t="s">
        <v>1352</v>
      </c>
      <c r="I70" s="331">
        <v>15</v>
      </c>
      <c r="J70" s="50" t="s">
        <v>1358</v>
      </c>
      <c r="K70" s="332">
        <f>7/8*25.4</f>
        <v>22.224999999999998</v>
      </c>
      <c r="L70" s="337">
        <f t="shared" si="16"/>
        <v>1.25</v>
      </c>
    </row>
    <row r="71" spans="1:12" x14ac:dyDescent="0.2">
      <c r="A71" s="327">
        <f t="shared" si="15"/>
        <v>0</v>
      </c>
      <c r="B71">
        <f t="shared" si="14"/>
        <v>1</v>
      </c>
      <c r="C71">
        <f t="shared" si="9"/>
        <v>1</v>
      </c>
      <c r="D71">
        <f t="shared" si="10"/>
        <v>0</v>
      </c>
      <c r="E71" s="96">
        <f t="shared" si="5"/>
        <v>0</v>
      </c>
      <c r="F71" s="330" t="s">
        <v>702</v>
      </c>
      <c r="G71" s="331">
        <v>12</v>
      </c>
      <c r="H71" s="50" t="s">
        <v>1352</v>
      </c>
      <c r="I71" s="331">
        <v>16</v>
      </c>
      <c r="J71" s="50" t="s">
        <v>1359</v>
      </c>
      <c r="K71" s="333">
        <f>15/16*25.4</f>
        <v>23.8125</v>
      </c>
      <c r="L71" s="337">
        <f t="shared" si="16"/>
        <v>1.3333333333333333</v>
      </c>
    </row>
    <row r="72" spans="1:12" x14ac:dyDescent="0.2">
      <c r="A72" s="327">
        <f t="shared" si="15"/>
        <v>0</v>
      </c>
      <c r="B72">
        <f t="shared" si="14"/>
        <v>1</v>
      </c>
      <c r="C72">
        <f t="shared" si="9"/>
        <v>1</v>
      </c>
      <c r="D72">
        <f t="shared" si="10"/>
        <v>0</v>
      </c>
      <c r="E72" s="96">
        <f t="shared" si="5"/>
        <v>0</v>
      </c>
      <c r="F72" s="330" t="s">
        <v>702</v>
      </c>
      <c r="G72" s="331">
        <v>12</v>
      </c>
      <c r="H72" s="50" t="s">
        <v>1352</v>
      </c>
      <c r="I72" s="331">
        <v>17</v>
      </c>
      <c r="J72" s="50" t="s">
        <v>1360</v>
      </c>
      <c r="K72" s="332">
        <f>1.0625*25.4</f>
        <v>26.987499999999997</v>
      </c>
      <c r="L72" s="337">
        <f t="shared" si="16"/>
        <v>1.4166666666666667</v>
      </c>
    </row>
    <row r="73" spans="1:12" x14ac:dyDescent="0.2">
      <c r="A73" s="327">
        <f t="shared" si="15"/>
        <v>0</v>
      </c>
      <c r="B73">
        <f t="shared" si="14"/>
        <v>1</v>
      </c>
      <c r="C73">
        <f t="shared" si="9"/>
        <v>1</v>
      </c>
      <c r="D73">
        <f t="shared" si="10"/>
        <v>0</v>
      </c>
      <c r="E73" s="96">
        <f t="shared" si="5"/>
        <v>0</v>
      </c>
      <c r="F73" s="330" t="s">
        <v>702</v>
      </c>
      <c r="G73" s="331">
        <v>12</v>
      </c>
      <c r="H73" s="50" t="s">
        <v>1352</v>
      </c>
      <c r="I73" s="331">
        <v>18</v>
      </c>
      <c r="J73" s="50" t="s">
        <v>1361</v>
      </c>
      <c r="K73" s="332">
        <f>1.1875*25.4</f>
        <v>30.162499999999998</v>
      </c>
      <c r="L73" s="337">
        <f t="shared" si="16"/>
        <v>1.5</v>
      </c>
    </row>
    <row r="74" spans="1:12" x14ac:dyDescent="0.2">
      <c r="A74" s="327">
        <f t="shared" si="15"/>
        <v>0</v>
      </c>
      <c r="B74">
        <f t="shared" si="14"/>
        <v>1</v>
      </c>
      <c r="C74">
        <f t="shared" si="9"/>
        <v>1</v>
      </c>
      <c r="D74">
        <f t="shared" si="10"/>
        <v>0</v>
      </c>
      <c r="E74" s="96">
        <f t="shared" si="5"/>
        <v>0</v>
      </c>
      <c r="F74" s="330" t="s">
        <v>702</v>
      </c>
      <c r="G74" s="331">
        <v>12</v>
      </c>
      <c r="H74" s="50" t="s">
        <v>1352</v>
      </c>
      <c r="I74" s="331">
        <v>19</v>
      </c>
      <c r="J74" s="50" t="s">
        <v>1362</v>
      </c>
      <c r="K74" s="328">
        <f>1.25*25.4</f>
        <v>31.75</v>
      </c>
      <c r="L74" s="337">
        <f t="shared" si="16"/>
        <v>1.5833333333333333</v>
      </c>
    </row>
    <row r="75" spans="1:12" x14ac:dyDescent="0.2">
      <c r="A75" s="327">
        <f t="shared" si="15"/>
        <v>0</v>
      </c>
      <c r="B75">
        <f t="shared" si="14"/>
        <v>1</v>
      </c>
      <c r="C75">
        <f t="shared" si="9"/>
        <v>1</v>
      </c>
      <c r="D75">
        <f t="shared" si="10"/>
        <v>0</v>
      </c>
      <c r="E75" s="96">
        <f t="shared" si="5"/>
        <v>0</v>
      </c>
      <c r="F75" s="330" t="s">
        <v>702</v>
      </c>
      <c r="G75" s="331">
        <v>12</v>
      </c>
      <c r="H75" s="50" t="s">
        <v>1352</v>
      </c>
      <c r="I75" s="331">
        <v>20</v>
      </c>
      <c r="J75" s="50" t="s">
        <v>1363</v>
      </c>
      <c r="K75" s="328">
        <f>1.3125*25.4</f>
        <v>33.337499999999999</v>
      </c>
      <c r="L75" s="337">
        <f t="shared" si="16"/>
        <v>1.6666666666666667</v>
      </c>
    </row>
    <row r="76" spans="1:12" x14ac:dyDescent="0.2">
      <c r="A76" s="327">
        <f t="shared" si="15"/>
        <v>0</v>
      </c>
      <c r="B76">
        <f t="shared" si="14"/>
        <v>1</v>
      </c>
      <c r="C76">
        <f t="shared" si="9"/>
        <v>1</v>
      </c>
      <c r="D76">
        <f t="shared" si="10"/>
        <v>0</v>
      </c>
      <c r="E76" s="96">
        <f t="shared" si="5"/>
        <v>0</v>
      </c>
      <c r="F76" s="330" t="s">
        <v>702</v>
      </c>
      <c r="G76" s="331">
        <v>12</v>
      </c>
      <c r="H76" s="50" t="s">
        <v>1352</v>
      </c>
      <c r="I76" s="331">
        <v>21</v>
      </c>
      <c r="J76" s="50" t="s">
        <v>1364</v>
      </c>
      <c r="K76" s="328">
        <f>1.25*25.4</f>
        <v>31.75</v>
      </c>
      <c r="L76" s="337">
        <f t="shared" si="16"/>
        <v>1.75</v>
      </c>
    </row>
    <row r="77" spans="1:12" x14ac:dyDescent="0.2">
      <c r="A77" s="327">
        <f t="shared" si="15"/>
        <v>0</v>
      </c>
      <c r="B77">
        <f t="shared" si="14"/>
        <v>1</v>
      </c>
      <c r="C77">
        <f t="shared" si="9"/>
        <v>1</v>
      </c>
      <c r="D77">
        <f t="shared" si="10"/>
        <v>0</v>
      </c>
      <c r="E77" s="96">
        <f t="shared" si="5"/>
        <v>0</v>
      </c>
      <c r="F77" s="330" t="s">
        <v>702</v>
      </c>
      <c r="G77" s="331">
        <v>12</v>
      </c>
      <c r="H77" s="50" t="s">
        <v>1352</v>
      </c>
      <c r="I77" s="331">
        <v>22</v>
      </c>
      <c r="J77" s="50" t="s">
        <v>1365</v>
      </c>
      <c r="K77" s="328">
        <f>1.375*25.4</f>
        <v>34.924999999999997</v>
      </c>
      <c r="L77" s="337">
        <f t="shared" si="16"/>
        <v>1.8333333333333333</v>
      </c>
    </row>
    <row r="78" spans="1:12" x14ac:dyDescent="0.2">
      <c r="A78" s="327">
        <f t="shared" si="15"/>
        <v>0</v>
      </c>
      <c r="B78">
        <f t="shared" si="14"/>
        <v>1</v>
      </c>
      <c r="C78">
        <f t="shared" si="9"/>
        <v>1</v>
      </c>
      <c r="D78">
        <f t="shared" si="10"/>
        <v>0</v>
      </c>
      <c r="E78" s="96">
        <f t="shared" si="5"/>
        <v>0</v>
      </c>
      <c r="F78" s="330" t="s">
        <v>702</v>
      </c>
      <c r="G78" s="331">
        <v>12</v>
      </c>
      <c r="H78" s="50" t="s">
        <v>1352</v>
      </c>
      <c r="I78" s="331">
        <v>23</v>
      </c>
      <c r="J78" s="50" t="s">
        <v>1366</v>
      </c>
      <c r="K78" s="328">
        <f>1.375*25.4</f>
        <v>34.924999999999997</v>
      </c>
      <c r="L78" s="337">
        <f t="shared" si="16"/>
        <v>1.9166666666666667</v>
      </c>
    </row>
    <row r="79" spans="1:12" x14ac:dyDescent="0.2">
      <c r="A79" s="327">
        <f t="shared" si="15"/>
        <v>0</v>
      </c>
      <c r="B79">
        <f t="shared" si="14"/>
        <v>1</v>
      </c>
      <c r="C79">
        <f t="shared" si="9"/>
        <v>1</v>
      </c>
      <c r="D79">
        <f t="shared" si="10"/>
        <v>0</v>
      </c>
      <c r="E79" s="96">
        <f t="shared" si="5"/>
        <v>0</v>
      </c>
      <c r="F79" s="330" t="s">
        <v>702</v>
      </c>
      <c r="G79" s="331">
        <v>12</v>
      </c>
      <c r="H79" s="50" t="s">
        <v>1352</v>
      </c>
      <c r="I79" s="331">
        <v>24</v>
      </c>
      <c r="J79" s="50" t="s">
        <v>1367</v>
      </c>
      <c r="K79" s="328">
        <f>1.5625*25.4</f>
        <v>39.6875</v>
      </c>
      <c r="L79" s="337">
        <f t="shared" si="16"/>
        <v>2</v>
      </c>
    </row>
    <row r="80" spans="1:12" x14ac:dyDescent="0.2">
      <c r="A80" s="327">
        <f t="shared" si="15"/>
        <v>0</v>
      </c>
      <c r="B80">
        <f t="shared" si="14"/>
        <v>1</v>
      </c>
      <c r="C80">
        <f t="shared" si="9"/>
        <v>1</v>
      </c>
      <c r="D80">
        <f t="shared" si="10"/>
        <v>0</v>
      </c>
      <c r="E80" s="96">
        <f t="shared" si="5"/>
        <v>0</v>
      </c>
      <c r="F80" s="330" t="s">
        <v>702</v>
      </c>
      <c r="G80" s="331">
        <v>12</v>
      </c>
      <c r="H80" s="50" t="s">
        <v>1352</v>
      </c>
      <c r="I80" s="331">
        <v>25</v>
      </c>
      <c r="J80" s="50" t="s">
        <v>1456</v>
      </c>
      <c r="K80" s="328">
        <f t="shared" ref="K80:K85" si="17">1.625*25.4</f>
        <v>41.274999999999999</v>
      </c>
      <c r="L80" s="337">
        <f t="shared" si="16"/>
        <v>2.0833333333333335</v>
      </c>
    </row>
    <row r="81" spans="1:12" x14ac:dyDescent="0.2">
      <c r="A81" s="327">
        <f t="shared" si="15"/>
        <v>0</v>
      </c>
      <c r="B81">
        <f t="shared" si="14"/>
        <v>1</v>
      </c>
      <c r="C81">
        <f t="shared" si="9"/>
        <v>1</v>
      </c>
      <c r="D81">
        <f t="shared" si="10"/>
        <v>0</v>
      </c>
      <c r="E81" s="96">
        <f t="shared" si="5"/>
        <v>0</v>
      </c>
      <c r="F81" s="330" t="s">
        <v>702</v>
      </c>
      <c r="G81" s="331">
        <v>12</v>
      </c>
      <c r="H81" s="50" t="s">
        <v>1352</v>
      </c>
      <c r="I81" s="331">
        <v>26</v>
      </c>
      <c r="J81" s="50" t="s">
        <v>1457</v>
      </c>
      <c r="K81" s="328">
        <f t="shared" si="17"/>
        <v>41.274999999999999</v>
      </c>
      <c r="L81" s="337">
        <f t="shared" si="16"/>
        <v>2.1666666666666665</v>
      </c>
    </row>
    <row r="82" spans="1:12" x14ac:dyDescent="0.2">
      <c r="A82" s="327">
        <f t="shared" si="15"/>
        <v>0</v>
      </c>
      <c r="B82">
        <f t="shared" si="14"/>
        <v>1</v>
      </c>
      <c r="C82">
        <f t="shared" si="9"/>
        <v>1</v>
      </c>
      <c r="D82">
        <f t="shared" ref="D82:D114" si="18">IF(AND(quote76=20,K82=20),1,0)</f>
        <v>0</v>
      </c>
      <c r="E82" s="96">
        <f t="shared" si="5"/>
        <v>0</v>
      </c>
      <c r="F82" s="330" t="s">
        <v>702</v>
      </c>
      <c r="G82" s="331">
        <v>12</v>
      </c>
      <c r="H82" s="50" t="s">
        <v>1352</v>
      </c>
      <c r="I82" s="331">
        <v>27</v>
      </c>
      <c r="J82" s="50" t="s">
        <v>1458</v>
      </c>
      <c r="K82" s="328">
        <f t="shared" si="17"/>
        <v>41.274999999999999</v>
      </c>
      <c r="L82" s="337">
        <f t="shared" si="16"/>
        <v>2.25</v>
      </c>
    </row>
    <row r="83" spans="1:12" x14ac:dyDescent="0.2">
      <c r="A83" s="327">
        <f t="shared" si="15"/>
        <v>0</v>
      </c>
      <c r="B83">
        <f t="shared" si="14"/>
        <v>1</v>
      </c>
      <c r="C83">
        <f t="shared" si="9"/>
        <v>1</v>
      </c>
      <c r="D83">
        <f t="shared" si="18"/>
        <v>0</v>
      </c>
      <c r="E83" s="96">
        <f t="shared" ref="E83:E143" si="19">IF(D83=1,MIN(A83:D83),MIN(A83:C83))</f>
        <v>0</v>
      </c>
      <c r="F83" s="330" t="s">
        <v>702</v>
      </c>
      <c r="G83" s="331">
        <v>12</v>
      </c>
      <c r="H83" s="50" t="s">
        <v>1352</v>
      </c>
      <c r="I83" s="331">
        <v>28</v>
      </c>
      <c r="J83" s="50" t="s">
        <v>1459</v>
      </c>
      <c r="K83" s="328">
        <f t="shared" si="17"/>
        <v>41.274999999999999</v>
      </c>
      <c r="L83" s="337">
        <f t="shared" si="16"/>
        <v>2.3333333333333335</v>
      </c>
    </row>
    <row r="84" spans="1:12" x14ac:dyDescent="0.2">
      <c r="A84" s="327">
        <f t="shared" si="15"/>
        <v>0</v>
      </c>
      <c r="B84">
        <f t="shared" si="14"/>
        <v>1</v>
      </c>
      <c r="C84">
        <f t="shared" si="9"/>
        <v>1</v>
      </c>
      <c r="D84">
        <f t="shared" si="18"/>
        <v>0</v>
      </c>
      <c r="E84" s="96">
        <f t="shared" si="19"/>
        <v>0</v>
      </c>
      <c r="F84" s="330" t="s">
        <v>702</v>
      </c>
      <c r="G84" s="331">
        <v>12</v>
      </c>
      <c r="H84" s="50" t="s">
        <v>1352</v>
      </c>
      <c r="I84" s="331">
        <v>30</v>
      </c>
      <c r="J84" s="50" t="s">
        <v>1460</v>
      </c>
      <c r="K84" s="328">
        <f t="shared" si="17"/>
        <v>41.274999999999999</v>
      </c>
      <c r="L84" s="337">
        <f t="shared" si="16"/>
        <v>2.5</v>
      </c>
    </row>
    <row r="85" spans="1:12" ht="13.5" thickBot="1" x14ac:dyDescent="0.25">
      <c r="A85" s="327">
        <f t="shared" si="15"/>
        <v>0</v>
      </c>
      <c r="B85">
        <f t="shared" si="14"/>
        <v>0</v>
      </c>
      <c r="C85">
        <f t="shared" si="9"/>
        <v>1</v>
      </c>
      <c r="D85">
        <f t="shared" si="18"/>
        <v>0</v>
      </c>
      <c r="E85" s="96">
        <f t="shared" si="19"/>
        <v>0</v>
      </c>
      <c r="F85" s="330" t="s">
        <v>702</v>
      </c>
      <c r="G85" s="331">
        <v>12</v>
      </c>
      <c r="H85" s="50" t="s">
        <v>1352</v>
      </c>
      <c r="I85" s="331">
        <v>32</v>
      </c>
      <c r="J85" s="50" t="s">
        <v>1481</v>
      </c>
      <c r="K85" s="328">
        <f t="shared" si="17"/>
        <v>41.274999999999999</v>
      </c>
      <c r="L85" s="337">
        <f t="shared" si="16"/>
        <v>2.6666666666666665</v>
      </c>
    </row>
    <row r="86" spans="1:12" ht="13.5" thickTop="1" x14ac:dyDescent="0.2">
      <c r="A86" s="345">
        <f t="shared" ref="A86:A93" si="20">IF(F86=quote59,1,0)</f>
        <v>0</v>
      </c>
      <c r="B86" s="346">
        <f t="shared" si="14"/>
        <v>0</v>
      </c>
      <c r="C86">
        <f t="shared" si="9"/>
        <v>0</v>
      </c>
      <c r="D86" s="346">
        <f t="shared" si="18"/>
        <v>0</v>
      </c>
      <c r="E86" s="145">
        <f t="shared" si="19"/>
        <v>0</v>
      </c>
      <c r="F86" s="476" t="s">
        <v>701</v>
      </c>
      <c r="G86" s="471">
        <v>12</v>
      </c>
      <c r="H86" s="447" t="s">
        <v>1352</v>
      </c>
      <c r="I86" s="471">
        <v>14</v>
      </c>
      <c r="J86" s="472" t="s">
        <v>1499</v>
      </c>
      <c r="K86" s="473">
        <v>20</v>
      </c>
      <c r="L86" s="474">
        <f t="shared" ref="L86:L93" si="21">+I86/G86</f>
        <v>1.1666666666666667</v>
      </c>
    </row>
    <row r="87" spans="1:12" x14ac:dyDescent="0.2">
      <c r="A87" s="327">
        <f>IF(F87=quote59,1,0)</f>
        <v>0</v>
      </c>
      <c r="B87">
        <f t="shared" si="14"/>
        <v>0</v>
      </c>
      <c r="C87">
        <f>IF(D87=1,1,IF(AND($A$1&lt;=$K87,K87&lt;&gt;20),1,0))</f>
        <v>0</v>
      </c>
      <c r="D87">
        <f>IF(AND(quote76=20,K87=20),1,0)</f>
        <v>0</v>
      </c>
      <c r="E87" s="96">
        <f>IF(D87=1,MIN(A87:D87),MIN(A87:C87))</f>
        <v>0</v>
      </c>
      <c r="F87" s="330" t="s">
        <v>701</v>
      </c>
      <c r="G87" s="331">
        <v>12</v>
      </c>
      <c r="H87" s="50" t="s">
        <v>1352</v>
      </c>
      <c r="I87" s="331">
        <v>15</v>
      </c>
      <c r="J87" s="50" t="s">
        <v>1464</v>
      </c>
      <c r="K87" s="339">
        <v>20</v>
      </c>
      <c r="L87" s="337">
        <f>+I87/G87</f>
        <v>1.25</v>
      </c>
    </row>
    <row r="88" spans="1:12" x14ac:dyDescent="0.2">
      <c r="A88" s="327">
        <f t="shared" si="20"/>
        <v>0</v>
      </c>
      <c r="B88">
        <f t="shared" si="14"/>
        <v>1</v>
      </c>
      <c r="C88">
        <f t="shared" si="9"/>
        <v>0</v>
      </c>
      <c r="D88">
        <f t="shared" si="18"/>
        <v>0</v>
      </c>
      <c r="E88" s="96">
        <f t="shared" si="19"/>
        <v>0</v>
      </c>
      <c r="F88" s="330" t="s">
        <v>701</v>
      </c>
      <c r="G88" s="331">
        <v>12</v>
      </c>
      <c r="H88" s="50" t="s">
        <v>1352</v>
      </c>
      <c r="I88" s="331">
        <v>16</v>
      </c>
      <c r="J88" s="50" t="s">
        <v>1465</v>
      </c>
      <c r="K88" s="339">
        <v>20</v>
      </c>
      <c r="L88" s="337">
        <f t="shared" si="21"/>
        <v>1.3333333333333333</v>
      </c>
    </row>
    <row r="89" spans="1:12" x14ac:dyDescent="0.2">
      <c r="A89" s="327">
        <f t="shared" si="20"/>
        <v>0</v>
      </c>
      <c r="B89">
        <f t="shared" si="14"/>
        <v>1</v>
      </c>
      <c r="C89">
        <f t="shared" si="9"/>
        <v>0</v>
      </c>
      <c r="D89">
        <f t="shared" si="18"/>
        <v>0</v>
      </c>
      <c r="E89" s="96">
        <f t="shared" si="19"/>
        <v>0</v>
      </c>
      <c r="F89" s="330" t="s">
        <v>701</v>
      </c>
      <c r="G89" s="331">
        <v>12</v>
      </c>
      <c r="H89" s="50" t="s">
        <v>1352</v>
      </c>
      <c r="I89" s="331">
        <v>17</v>
      </c>
      <c r="J89" s="50" t="s">
        <v>1466</v>
      </c>
      <c r="K89" s="339">
        <v>20</v>
      </c>
      <c r="L89" s="337">
        <f t="shared" si="21"/>
        <v>1.4166666666666667</v>
      </c>
    </row>
    <row r="90" spans="1:12" x14ac:dyDescent="0.2">
      <c r="A90" s="327">
        <f t="shared" si="20"/>
        <v>0</v>
      </c>
      <c r="B90">
        <f t="shared" si="14"/>
        <v>1</v>
      </c>
      <c r="C90">
        <f t="shared" si="9"/>
        <v>0</v>
      </c>
      <c r="D90">
        <f t="shared" si="18"/>
        <v>0</v>
      </c>
      <c r="E90" s="96">
        <f t="shared" si="19"/>
        <v>0</v>
      </c>
      <c r="F90" s="330" t="s">
        <v>701</v>
      </c>
      <c r="G90" s="331">
        <v>12</v>
      </c>
      <c r="H90" s="50" t="s">
        <v>1352</v>
      </c>
      <c r="I90" s="331">
        <v>18</v>
      </c>
      <c r="J90" s="50" t="s">
        <v>1467</v>
      </c>
      <c r="K90" s="339">
        <v>20</v>
      </c>
      <c r="L90" s="337">
        <f t="shared" si="21"/>
        <v>1.5</v>
      </c>
    </row>
    <row r="91" spans="1:12" x14ac:dyDescent="0.2">
      <c r="A91" s="327">
        <f t="shared" si="20"/>
        <v>0</v>
      </c>
      <c r="B91">
        <f t="shared" ref="B91:B124" si="22">IF(AND($L91&gt;=$A$8,$L91&lt;=$A$9),1,0)</f>
        <v>1</v>
      </c>
      <c r="C91">
        <f t="shared" si="9"/>
        <v>0</v>
      </c>
      <c r="D91">
        <f t="shared" si="18"/>
        <v>0</v>
      </c>
      <c r="E91" s="96">
        <f t="shared" si="19"/>
        <v>0</v>
      </c>
      <c r="F91" s="330" t="s">
        <v>701</v>
      </c>
      <c r="G91" s="331">
        <v>12</v>
      </c>
      <c r="H91" s="50" t="s">
        <v>1352</v>
      </c>
      <c r="I91" s="331">
        <v>19</v>
      </c>
      <c r="J91" s="50" t="s">
        <v>1468</v>
      </c>
      <c r="K91" s="339">
        <v>20</v>
      </c>
      <c r="L91" s="337">
        <f t="shared" si="21"/>
        <v>1.5833333333333333</v>
      </c>
    </row>
    <row r="92" spans="1:12" x14ac:dyDescent="0.2">
      <c r="A92" s="327">
        <f t="shared" si="20"/>
        <v>0</v>
      </c>
      <c r="B92">
        <f t="shared" si="22"/>
        <v>1</v>
      </c>
      <c r="C92">
        <f t="shared" si="9"/>
        <v>0</v>
      </c>
      <c r="D92">
        <f t="shared" si="18"/>
        <v>0</v>
      </c>
      <c r="E92" s="96">
        <f t="shared" si="19"/>
        <v>0</v>
      </c>
      <c r="F92" s="330" t="s">
        <v>701</v>
      </c>
      <c r="G92" s="331">
        <v>12</v>
      </c>
      <c r="H92" s="50" t="s">
        <v>1352</v>
      </c>
      <c r="I92" s="331">
        <v>20</v>
      </c>
      <c r="J92" s="50" t="s">
        <v>1469</v>
      </c>
      <c r="K92" s="339">
        <v>20</v>
      </c>
      <c r="L92" s="337">
        <f t="shared" si="21"/>
        <v>1.6666666666666667</v>
      </c>
    </row>
    <row r="93" spans="1:12" x14ac:dyDescent="0.2">
      <c r="A93" s="327">
        <f t="shared" si="20"/>
        <v>0</v>
      </c>
      <c r="B93">
        <f t="shared" si="22"/>
        <v>1</v>
      </c>
      <c r="C93">
        <f t="shared" si="9"/>
        <v>0</v>
      </c>
      <c r="D93">
        <f t="shared" si="18"/>
        <v>0</v>
      </c>
      <c r="E93" s="96">
        <f t="shared" si="19"/>
        <v>0</v>
      </c>
      <c r="F93" s="330" t="s">
        <v>701</v>
      </c>
      <c r="G93" s="331">
        <v>12</v>
      </c>
      <c r="H93" s="50" t="s">
        <v>1352</v>
      </c>
      <c r="I93" s="331">
        <v>21</v>
      </c>
      <c r="J93" s="50" t="s">
        <v>1470</v>
      </c>
      <c r="K93" s="339">
        <v>20</v>
      </c>
      <c r="L93" s="337">
        <f t="shared" si="21"/>
        <v>1.75</v>
      </c>
    </row>
    <row r="94" spans="1:12" x14ac:dyDescent="0.2">
      <c r="A94" s="327">
        <f t="shared" ref="A94:A122" si="23">IF(F94=quote59,1,0)</f>
        <v>0</v>
      </c>
      <c r="B94">
        <f t="shared" si="22"/>
        <v>1</v>
      </c>
      <c r="C94">
        <f t="shared" si="9"/>
        <v>0</v>
      </c>
      <c r="D94">
        <f t="shared" si="18"/>
        <v>0</v>
      </c>
      <c r="E94" s="96">
        <f t="shared" si="19"/>
        <v>0</v>
      </c>
      <c r="F94" s="330" t="s">
        <v>701</v>
      </c>
      <c r="G94" s="331">
        <v>12</v>
      </c>
      <c r="H94" s="50" t="s">
        <v>1352</v>
      </c>
      <c r="I94" s="331">
        <v>22</v>
      </c>
      <c r="J94" s="50" t="s">
        <v>1471</v>
      </c>
      <c r="K94" s="339">
        <v>20</v>
      </c>
      <c r="L94" s="337">
        <f t="shared" ref="L94:L122" si="24">+I94/G94</f>
        <v>1.8333333333333333</v>
      </c>
    </row>
    <row r="95" spans="1:12" x14ac:dyDescent="0.2">
      <c r="A95" s="327">
        <f t="shared" si="23"/>
        <v>0</v>
      </c>
      <c r="B95">
        <f t="shared" si="22"/>
        <v>1</v>
      </c>
      <c r="C95">
        <f t="shared" ref="C95:C159" si="25">IF(D95=1,1,IF(AND($A$1&lt;=$K95,K95&lt;&gt;20),1,0))</f>
        <v>0</v>
      </c>
      <c r="D95">
        <f t="shared" si="18"/>
        <v>0</v>
      </c>
      <c r="E95" s="96">
        <f t="shared" si="19"/>
        <v>0</v>
      </c>
      <c r="F95" s="330" t="s">
        <v>701</v>
      </c>
      <c r="G95" s="331">
        <v>12</v>
      </c>
      <c r="H95" s="50" t="s">
        <v>1352</v>
      </c>
      <c r="I95" s="331">
        <v>30</v>
      </c>
      <c r="J95" s="50" t="s">
        <v>1472</v>
      </c>
      <c r="K95" s="339">
        <v>20</v>
      </c>
      <c r="L95" s="337">
        <f t="shared" si="24"/>
        <v>2.5</v>
      </c>
    </row>
    <row r="96" spans="1:12" x14ac:dyDescent="0.2">
      <c r="A96" s="327">
        <f t="shared" si="23"/>
        <v>0</v>
      </c>
      <c r="B96">
        <f t="shared" si="22"/>
        <v>0</v>
      </c>
      <c r="C96">
        <f t="shared" si="25"/>
        <v>1</v>
      </c>
      <c r="D96">
        <f t="shared" si="18"/>
        <v>0</v>
      </c>
      <c r="E96" s="96">
        <f t="shared" si="19"/>
        <v>0</v>
      </c>
      <c r="F96" s="330" t="s">
        <v>701</v>
      </c>
      <c r="G96" s="331">
        <v>12</v>
      </c>
      <c r="H96" s="50" t="s">
        <v>1352</v>
      </c>
      <c r="I96" s="331">
        <v>12</v>
      </c>
      <c r="J96" s="50" t="s">
        <v>1355</v>
      </c>
      <c r="K96" s="332">
        <f>3/4*25.4</f>
        <v>19.049999999999997</v>
      </c>
      <c r="L96" s="337">
        <f t="shared" si="24"/>
        <v>1</v>
      </c>
    </row>
    <row r="97" spans="1:12" x14ac:dyDescent="0.2">
      <c r="A97" s="327">
        <f t="shared" si="23"/>
        <v>0</v>
      </c>
      <c r="B97">
        <f t="shared" si="22"/>
        <v>0</v>
      </c>
      <c r="C97">
        <f t="shared" si="25"/>
        <v>1</v>
      </c>
      <c r="D97">
        <f t="shared" si="18"/>
        <v>0</v>
      </c>
      <c r="E97" s="96">
        <f t="shared" si="19"/>
        <v>0</v>
      </c>
      <c r="F97" s="330" t="s">
        <v>701</v>
      </c>
      <c r="G97" s="331">
        <v>12</v>
      </c>
      <c r="H97" s="50" t="s">
        <v>1352</v>
      </c>
      <c r="I97" s="331">
        <v>13</v>
      </c>
      <c r="J97" s="50" t="s">
        <v>1356</v>
      </c>
      <c r="K97" s="332">
        <f>3/4*25.4</f>
        <v>19.049999999999997</v>
      </c>
      <c r="L97" s="337">
        <f t="shared" si="24"/>
        <v>1.0833333333333333</v>
      </c>
    </row>
    <row r="98" spans="1:12" x14ac:dyDescent="0.2">
      <c r="A98" s="327">
        <f t="shared" si="23"/>
        <v>0</v>
      </c>
      <c r="B98">
        <f t="shared" si="22"/>
        <v>0</v>
      </c>
      <c r="C98">
        <f t="shared" si="25"/>
        <v>1</v>
      </c>
      <c r="D98">
        <f t="shared" si="18"/>
        <v>0</v>
      </c>
      <c r="E98" s="96">
        <f t="shared" si="19"/>
        <v>0</v>
      </c>
      <c r="F98" s="330" t="s">
        <v>701</v>
      </c>
      <c r="G98" s="331">
        <v>12</v>
      </c>
      <c r="H98" s="50" t="s">
        <v>1352</v>
      </c>
      <c r="I98" s="331">
        <v>14</v>
      </c>
      <c r="J98" s="50" t="s">
        <v>1357</v>
      </c>
      <c r="K98" s="332">
        <f>7/8*25.4</f>
        <v>22.224999999999998</v>
      </c>
      <c r="L98" s="337">
        <f t="shared" si="24"/>
        <v>1.1666666666666667</v>
      </c>
    </row>
    <row r="99" spans="1:12" x14ac:dyDescent="0.2">
      <c r="A99" s="327">
        <f t="shared" si="23"/>
        <v>0</v>
      </c>
      <c r="B99">
        <f t="shared" si="22"/>
        <v>0</v>
      </c>
      <c r="C99">
        <f t="shared" si="25"/>
        <v>1</v>
      </c>
      <c r="D99">
        <f t="shared" si="18"/>
        <v>0</v>
      </c>
      <c r="E99" s="96">
        <f t="shared" si="19"/>
        <v>0</v>
      </c>
      <c r="F99" s="330" t="s">
        <v>701</v>
      </c>
      <c r="G99" s="331">
        <v>12</v>
      </c>
      <c r="H99" s="50" t="s">
        <v>1352</v>
      </c>
      <c r="I99" s="331">
        <v>15</v>
      </c>
      <c r="J99" s="50" t="s">
        <v>1358</v>
      </c>
      <c r="K99" s="332">
        <f>7/8*25.4</f>
        <v>22.224999999999998</v>
      </c>
      <c r="L99" s="337">
        <f t="shared" si="24"/>
        <v>1.25</v>
      </c>
    </row>
    <row r="100" spans="1:12" x14ac:dyDescent="0.2">
      <c r="A100" s="327">
        <f t="shared" si="23"/>
        <v>0</v>
      </c>
      <c r="B100">
        <f t="shared" si="22"/>
        <v>1</v>
      </c>
      <c r="C100">
        <f t="shared" si="25"/>
        <v>1</v>
      </c>
      <c r="D100">
        <f t="shared" si="18"/>
        <v>0</v>
      </c>
      <c r="E100" s="96">
        <f t="shared" si="19"/>
        <v>0</v>
      </c>
      <c r="F100" s="330" t="s">
        <v>701</v>
      </c>
      <c r="G100" s="331">
        <v>12</v>
      </c>
      <c r="H100" s="50" t="s">
        <v>1352</v>
      </c>
      <c r="I100" s="331">
        <v>16</v>
      </c>
      <c r="J100" s="50" t="s">
        <v>1359</v>
      </c>
      <c r="K100" s="333">
        <f>15/16*25.4</f>
        <v>23.8125</v>
      </c>
      <c r="L100" s="337">
        <f t="shared" si="24"/>
        <v>1.3333333333333333</v>
      </c>
    </row>
    <row r="101" spans="1:12" x14ac:dyDescent="0.2">
      <c r="A101" s="327">
        <f t="shared" si="23"/>
        <v>0</v>
      </c>
      <c r="B101">
        <f t="shared" si="22"/>
        <v>1</v>
      </c>
      <c r="C101">
        <f t="shared" si="25"/>
        <v>1</v>
      </c>
      <c r="D101">
        <f t="shared" si="18"/>
        <v>0</v>
      </c>
      <c r="E101" s="96">
        <f t="shared" si="19"/>
        <v>0</v>
      </c>
      <c r="F101" s="330" t="s">
        <v>701</v>
      </c>
      <c r="G101" s="331">
        <v>12</v>
      </c>
      <c r="H101" s="50" t="s">
        <v>1352</v>
      </c>
      <c r="I101" s="331">
        <v>17</v>
      </c>
      <c r="J101" s="50" t="s">
        <v>1360</v>
      </c>
      <c r="K101" s="332">
        <f>1.0625*25.4</f>
        <v>26.987499999999997</v>
      </c>
      <c r="L101" s="337">
        <f t="shared" si="24"/>
        <v>1.4166666666666667</v>
      </c>
    </row>
    <row r="102" spans="1:12" x14ac:dyDescent="0.2">
      <c r="A102" s="327">
        <f t="shared" si="23"/>
        <v>0</v>
      </c>
      <c r="B102">
        <f t="shared" si="22"/>
        <v>1</v>
      </c>
      <c r="C102">
        <f t="shared" si="25"/>
        <v>1</v>
      </c>
      <c r="D102">
        <f t="shared" si="18"/>
        <v>0</v>
      </c>
      <c r="E102" s="96">
        <f t="shared" si="19"/>
        <v>0</v>
      </c>
      <c r="F102" s="330" t="s">
        <v>701</v>
      </c>
      <c r="G102" s="331">
        <v>12</v>
      </c>
      <c r="H102" s="50" t="s">
        <v>1352</v>
      </c>
      <c r="I102" s="331">
        <v>18</v>
      </c>
      <c r="J102" s="50" t="s">
        <v>1361</v>
      </c>
      <c r="K102" s="332">
        <f>1.1875*25.4</f>
        <v>30.162499999999998</v>
      </c>
      <c r="L102" s="337">
        <f t="shared" si="24"/>
        <v>1.5</v>
      </c>
    </row>
    <row r="103" spans="1:12" x14ac:dyDescent="0.2">
      <c r="A103" s="327">
        <f t="shared" si="23"/>
        <v>0</v>
      </c>
      <c r="B103">
        <f t="shared" si="22"/>
        <v>1</v>
      </c>
      <c r="C103">
        <f t="shared" si="25"/>
        <v>1</v>
      </c>
      <c r="D103">
        <f t="shared" si="18"/>
        <v>0</v>
      </c>
      <c r="E103" s="96">
        <f t="shared" si="19"/>
        <v>0</v>
      </c>
      <c r="F103" s="330" t="s">
        <v>701</v>
      </c>
      <c r="G103" s="331">
        <v>12</v>
      </c>
      <c r="H103" s="50" t="s">
        <v>1352</v>
      </c>
      <c r="I103" s="331">
        <v>19</v>
      </c>
      <c r="J103" s="50" t="s">
        <v>1362</v>
      </c>
      <c r="K103" s="328">
        <f>1.25*25.4</f>
        <v>31.75</v>
      </c>
      <c r="L103" s="337">
        <f t="shared" si="24"/>
        <v>1.5833333333333333</v>
      </c>
    </row>
    <row r="104" spans="1:12" x14ac:dyDescent="0.2">
      <c r="A104" s="327">
        <f t="shared" si="23"/>
        <v>0</v>
      </c>
      <c r="B104">
        <f t="shared" si="22"/>
        <v>1</v>
      </c>
      <c r="C104">
        <f t="shared" si="25"/>
        <v>1</v>
      </c>
      <c r="D104">
        <f t="shared" si="18"/>
        <v>0</v>
      </c>
      <c r="E104" s="96">
        <f t="shared" si="19"/>
        <v>0</v>
      </c>
      <c r="F104" s="330" t="s">
        <v>701</v>
      </c>
      <c r="G104" s="331">
        <v>12</v>
      </c>
      <c r="H104" s="50" t="s">
        <v>1352</v>
      </c>
      <c r="I104" s="331">
        <v>20</v>
      </c>
      <c r="J104" s="50" t="s">
        <v>1363</v>
      </c>
      <c r="K104" s="328">
        <f>1.3125*25.4</f>
        <v>33.337499999999999</v>
      </c>
      <c r="L104" s="337">
        <f t="shared" si="24"/>
        <v>1.6666666666666667</v>
      </c>
    </row>
    <row r="105" spans="1:12" x14ac:dyDescent="0.2">
      <c r="A105" s="327">
        <f t="shared" si="23"/>
        <v>0</v>
      </c>
      <c r="B105">
        <f t="shared" si="22"/>
        <v>1</v>
      </c>
      <c r="C105">
        <f t="shared" si="25"/>
        <v>1</v>
      </c>
      <c r="D105">
        <f t="shared" si="18"/>
        <v>0</v>
      </c>
      <c r="E105" s="96">
        <f t="shared" si="19"/>
        <v>0</v>
      </c>
      <c r="F105" s="330" t="s">
        <v>701</v>
      </c>
      <c r="G105" s="331">
        <v>12</v>
      </c>
      <c r="H105" s="50" t="s">
        <v>1352</v>
      </c>
      <c r="I105" s="331">
        <v>21</v>
      </c>
      <c r="J105" s="50" t="s">
        <v>1364</v>
      </c>
      <c r="K105" s="328">
        <f>1.25*25.4</f>
        <v>31.75</v>
      </c>
      <c r="L105" s="337">
        <f t="shared" si="24"/>
        <v>1.75</v>
      </c>
    </row>
    <row r="106" spans="1:12" x14ac:dyDescent="0.2">
      <c r="A106" s="327">
        <f t="shared" si="23"/>
        <v>0</v>
      </c>
      <c r="B106">
        <f t="shared" si="22"/>
        <v>1</v>
      </c>
      <c r="C106">
        <f t="shared" si="25"/>
        <v>1</v>
      </c>
      <c r="D106">
        <f t="shared" si="18"/>
        <v>0</v>
      </c>
      <c r="E106" s="96">
        <f t="shared" si="19"/>
        <v>0</v>
      </c>
      <c r="F106" s="330" t="s">
        <v>701</v>
      </c>
      <c r="G106" s="331">
        <v>12</v>
      </c>
      <c r="H106" s="50" t="s">
        <v>1352</v>
      </c>
      <c r="I106" s="331">
        <v>22</v>
      </c>
      <c r="J106" s="50" t="s">
        <v>1365</v>
      </c>
      <c r="K106" s="328">
        <f>1.375*25.4</f>
        <v>34.924999999999997</v>
      </c>
      <c r="L106" s="337">
        <f t="shared" si="24"/>
        <v>1.8333333333333333</v>
      </c>
    </row>
    <row r="107" spans="1:12" x14ac:dyDescent="0.2">
      <c r="A107" s="327">
        <f t="shared" si="23"/>
        <v>0</v>
      </c>
      <c r="B107">
        <f t="shared" si="22"/>
        <v>1</v>
      </c>
      <c r="C107">
        <f t="shared" si="25"/>
        <v>1</v>
      </c>
      <c r="D107">
        <f t="shared" si="18"/>
        <v>0</v>
      </c>
      <c r="E107" s="96">
        <f t="shared" si="19"/>
        <v>0</v>
      </c>
      <c r="F107" s="330" t="s">
        <v>701</v>
      </c>
      <c r="G107" s="331">
        <v>12</v>
      </c>
      <c r="H107" s="50" t="s">
        <v>1352</v>
      </c>
      <c r="I107" s="331">
        <v>23</v>
      </c>
      <c r="J107" s="50" t="s">
        <v>1366</v>
      </c>
      <c r="K107" s="328">
        <f>1.375*25.4</f>
        <v>34.924999999999997</v>
      </c>
      <c r="L107" s="337">
        <f t="shared" si="24"/>
        <v>1.9166666666666667</v>
      </c>
    </row>
    <row r="108" spans="1:12" x14ac:dyDescent="0.2">
      <c r="A108" s="327">
        <f t="shared" si="23"/>
        <v>0</v>
      </c>
      <c r="B108">
        <f t="shared" si="22"/>
        <v>1</v>
      </c>
      <c r="C108">
        <f t="shared" si="25"/>
        <v>1</v>
      </c>
      <c r="D108">
        <f t="shared" si="18"/>
        <v>0</v>
      </c>
      <c r="E108" s="96">
        <f t="shared" si="19"/>
        <v>0</v>
      </c>
      <c r="F108" s="330" t="s">
        <v>701</v>
      </c>
      <c r="G108" s="331">
        <v>12</v>
      </c>
      <c r="H108" s="50" t="s">
        <v>1352</v>
      </c>
      <c r="I108" s="331">
        <v>24</v>
      </c>
      <c r="J108" s="50" t="s">
        <v>1367</v>
      </c>
      <c r="K108" s="328">
        <f>1.5625*25.4</f>
        <v>39.6875</v>
      </c>
      <c r="L108" s="337">
        <f t="shared" si="24"/>
        <v>2</v>
      </c>
    </row>
    <row r="109" spans="1:12" x14ac:dyDescent="0.2">
      <c r="A109" s="327">
        <f t="shared" si="23"/>
        <v>0</v>
      </c>
      <c r="B109">
        <f t="shared" si="22"/>
        <v>1</v>
      </c>
      <c r="C109">
        <f t="shared" si="25"/>
        <v>1</v>
      </c>
      <c r="D109">
        <f t="shared" si="18"/>
        <v>0</v>
      </c>
      <c r="E109" s="96">
        <f t="shared" si="19"/>
        <v>0</v>
      </c>
      <c r="F109" s="330" t="s">
        <v>701</v>
      </c>
      <c r="G109" s="331">
        <v>12</v>
      </c>
      <c r="H109" s="50" t="s">
        <v>1352</v>
      </c>
      <c r="I109" s="331">
        <v>25</v>
      </c>
      <c r="J109" s="50" t="s">
        <v>1456</v>
      </c>
      <c r="K109" s="328">
        <f t="shared" ref="K109:K114" si="26">1.625*25.4</f>
        <v>41.274999999999999</v>
      </c>
      <c r="L109" s="337">
        <f t="shared" si="24"/>
        <v>2.0833333333333335</v>
      </c>
    </row>
    <row r="110" spans="1:12" x14ac:dyDescent="0.2">
      <c r="A110" s="327">
        <f t="shared" si="23"/>
        <v>0</v>
      </c>
      <c r="B110">
        <f t="shared" si="22"/>
        <v>1</v>
      </c>
      <c r="C110">
        <f t="shared" si="25"/>
        <v>1</v>
      </c>
      <c r="D110">
        <f t="shared" si="18"/>
        <v>0</v>
      </c>
      <c r="E110" s="96">
        <f t="shared" si="19"/>
        <v>0</v>
      </c>
      <c r="F110" s="330" t="s">
        <v>701</v>
      </c>
      <c r="G110" s="331">
        <v>12</v>
      </c>
      <c r="H110" s="50" t="s">
        <v>1352</v>
      </c>
      <c r="I110" s="331">
        <v>26</v>
      </c>
      <c r="J110" s="50" t="s">
        <v>1457</v>
      </c>
      <c r="K110" s="328">
        <f t="shared" si="26"/>
        <v>41.274999999999999</v>
      </c>
      <c r="L110" s="337">
        <f t="shared" si="24"/>
        <v>2.1666666666666665</v>
      </c>
    </row>
    <row r="111" spans="1:12" x14ac:dyDescent="0.2">
      <c r="A111" s="327">
        <f t="shared" si="23"/>
        <v>0</v>
      </c>
      <c r="B111">
        <f t="shared" si="22"/>
        <v>1</v>
      </c>
      <c r="C111">
        <f t="shared" si="25"/>
        <v>1</v>
      </c>
      <c r="D111">
        <f t="shared" si="18"/>
        <v>0</v>
      </c>
      <c r="E111" s="96">
        <f t="shared" si="19"/>
        <v>0</v>
      </c>
      <c r="F111" s="330" t="s">
        <v>701</v>
      </c>
      <c r="G111" s="331">
        <v>12</v>
      </c>
      <c r="H111" s="50" t="s">
        <v>1352</v>
      </c>
      <c r="I111" s="331">
        <v>27</v>
      </c>
      <c r="J111" s="50" t="s">
        <v>1458</v>
      </c>
      <c r="K111" s="328">
        <f t="shared" si="26"/>
        <v>41.274999999999999</v>
      </c>
      <c r="L111" s="337">
        <f t="shared" si="24"/>
        <v>2.25</v>
      </c>
    </row>
    <row r="112" spans="1:12" x14ac:dyDescent="0.2">
      <c r="A112" s="327">
        <f t="shared" si="23"/>
        <v>0</v>
      </c>
      <c r="B112">
        <f t="shared" si="22"/>
        <v>1</v>
      </c>
      <c r="C112">
        <f t="shared" si="25"/>
        <v>1</v>
      </c>
      <c r="D112">
        <f t="shared" si="18"/>
        <v>0</v>
      </c>
      <c r="E112" s="96">
        <f t="shared" si="19"/>
        <v>0</v>
      </c>
      <c r="F112" s="330" t="s">
        <v>701</v>
      </c>
      <c r="G112" s="331">
        <v>12</v>
      </c>
      <c r="H112" s="50" t="s">
        <v>1352</v>
      </c>
      <c r="I112" s="331">
        <v>28</v>
      </c>
      <c r="J112" s="50" t="s">
        <v>1459</v>
      </c>
      <c r="K112" s="328">
        <f t="shared" si="26"/>
        <v>41.274999999999999</v>
      </c>
      <c r="L112" s="337">
        <f t="shared" si="24"/>
        <v>2.3333333333333335</v>
      </c>
    </row>
    <row r="113" spans="1:12" x14ac:dyDescent="0.2">
      <c r="A113" s="327">
        <f t="shared" si="23"/>
        <v>0</v>
      </c>
      <c r="B113">
        <f t="shared" si="22"/>
        <v>1</v>
      </c>
      <c r="C113">
        <f t="shared" si="25"/>
        <v>1</v>
      </c>
      <c r="D113">
        <f t="shared" si="18"/>
        <v>0</v>
      </c>
      <c r="E113" s="96">
        <f t="shared" si="19"/>
        <v>0</v>
      </c>
      <c r="F113" s="330" t="s">
        <v>701</v>
      </c>
      <c r="G113" s="331">
        <v>12</v>
      </c>
      <c r="H113" s="50" t="s">
        <v>1352</v>
      </c>
      <c r="I113" s="331">
        <v>30</v>
      </c>
      <c r="J113" s="50" t="s">
        <v>1460</v>
      </c>
      <c r="K113" s="328">
        <f t="shared" si="26"/>
        <v>41.274999999999999</v>
      </c>
      <c r="L113" s="337">
        <f t="shared" si="24"/>
        <v>2.5</v>
      </c>
    </row>
    <row r="114" spans="1:12" ht="13.5" thickBot="1" x14ac:dyDescent="0.25">
      <c r="A114" s="327">
        <f t="shared" si="23"/>
        <v>0</v>
      </c>
      <c r="B114">
        <f t="shared" si="22"/>
        <v>0</v>
      </c>
      <c r="C114">
        <f t="shared" si="25"/>
        <v>1</v>
      </c>
      <c r="D114">
        <f t="shared" si="18"/>
        <v>0</v>
      </c>
      <c r="E114" s="96">
        <f t="shared" si="19"/>
        <v>0</v>
      </c>
      <c r="F114" s="330" t="s">
        <v>701</v>
      </c>
      <c r="G114" s="331">
        <v>12</v>
      </c>
      <c r="H114" s="50" t="s">
        <v>1352</v>
      </c>
      <c r="I114" s="331">
        <v>32</v>
      </c>
      <c r="J114" s="50" t="s">
        <v>1481</v>
      </c>
      <c r="K114" s="328">
        <f t="shared" si="26"/>
        <v>41.274999999999999</v>
      </c>
      <c r="L114" s="337">
        <f t="shared" si="24"/>
        <v>2.6666666666666665</v>
      </c>
    </row>
    <row r="115" spans="1:12" ht="13.5" thickTop="1" x14ac:dyDescent="0.2">
      <c r="A115" s="345">
        <f t="shared" si="23"/>
        <v>0</v>
      </c>
      <c r="B115" s="346">
        <f t="shared" si="22"/>
        <v>0</v>
      </c>
      <c r="C115">
        <f t="shared" si="25"/>
        <v>0</v>
      </c>
      <c r="D115" s="346">
        <f t="shared" ref="D115:D165" si="27">IF(AND(quote76=20,K115=20),1,0)</f>
        <v>0</v>
      </c>
      <c r="E115" s="96">
        <f t="shared" si="19"/>
        <v>0</v>
      </c>
      <c r="F115" s="347" t="s">
        <v>700</v>
      </c>
      <c r="G115" s="348">
        <v>12</v>
      </c>
      <c r="H115" s="349" t="s">
        <v>1352</v>
      </c>
      <c r="I115" s="348">
        <v>14</v>
      </c>
      <c r="J115" s="470" t="s">
        <v>1499</v>
      </c>
      <c r="K115" s="350">
        <v>20</v>
      </c>
      <c r="L115" s="351">
        <f t="shared" si="24"/>
        <v>1.1666666666666667</v>
      </c>
    </row>
    <row r="116" spans="1:12" x14ac:dyDescent="0.2">
      <c r="A116" s="327">
        <f>IF(F116=quote59,1,0)</f>
        <v>0</v>
      </c>
      <c r="B116">
        <f t="shared" si="22"/>
        <v>0</v>
      </c>
      <c r="C116">
        <f>IF(D116=1,1,IF(AND($A$1&lt;=$K116,K116&lt;&gt;20),1,0))</f>
        <v>0</v>
      </c>
      <c r="D116">
        <f>IF(AND(quote76=20,K116=20),1,0)</f>
        <v>0</v>
      </c>
      <c r="E116" s="96">
        <f>IF(D116=1,MIN(A116:D116),MIN(A116:C116))</f>
        <v>0</v>
      </c>
      <c r="F116" s="330" t="s">
        <v>700</v>
      </c>
      <c r="G116" s="331">
        <v>12</v>
      </c>
      <c r="H116" s="50" t="s">
        <v>1352</v>
      </c>
      <c r="I116" s="331">
        <v>15</v>
      </c>
      <c r="J116" s="50" t="s">
        <v>1464</v>
      </c>
      <c r="K116" s="339">
        <v>20</v>
      </c>
      <c r="L116" s="337">
        <f>+I116/G116</f>
        <v>1.25</v>
      </c>
    </row>
    <row r="117" spans="1:12" x14ac:dyDescent="0.2">
      <c r="A117" s="327">
        <f t="shared" si="23"/>
        <v>0</v>
      </c>
      <c r="B117">
        <f t="shared" si="22"/>
        <v>1</v>
      </c>
      <c r="C117">
        <f t="shared" si="25"/>
        <v>0</v>
      </c>
      <c r="D117">
        <f t="shared" si="27"/>
        <v>0</v>
      </c>
      <c r="E117" s="96">
        <f t="shared" si="19"/>
        <v>0</v>
      </c>
      <c r="F117" s="330" t="s">
        <v>700</v>
      </c>
      <c r="G117" s="331">
        <v>12</v>
      </c>
      <c r="H117" s="50" t="s">
        <v>1352</v>
      </c>
      <c r="I117" s="331">
        <v>16</v>
      </c>
      <c r="J117" s="50" t="s">
        <v>1465</v>
      </c>
      <c r="K117" s="339">
        <v>20</v>
      </c>
      <c r="L117" s="337">
        <f t="shared" si="24"/>
        <v>1.3333333333333333</v>
      </c>
    </row>
    <row r="118" spans="1:12" x14ac:dyDescent="0.2">
      <c r="A118" s="327">
        <f t="shared" si="23"/>
        <v>0</v>
      </c>
      <c r="B118">
        <f t="shared" si="22"/>
        <v>1</v>
      </c>
      <c r="C118">
        <f t="shared" si="25"/>
        <v>0</v>
      </c>
      <c r="D118">
        <f t="shared" si="27"/>
        <v>0</v>
      </c>
      <c r="E118" s="96">
        <f t="shared" si="19"/>
        <v>0</v>
      </c>
      <c r="F118" s="330" t="s">
        <v>700</v>
      </c>
      <c r="G118" s="331">
        <v>12</v>
      </c>
      <c r="H118" s="50" t="s">
        <v>1352</v>
      </c>
      <c r="I118" s="331">
        <v>17</v>
      </c>
      <c r="J118" s="50" t="s">
        <v>1466</v>
      </c>
      <c r="K118" s="339">
        <v>20</v>
      </c>
      <c r="L118" s="337">
        <f t="shared" si="24"/>
        <v>1.4166666666666667</v>
      </c>
    </row>
    <row r="119" spans="1:12" x14ac:dyDescent="0.2">
      <c r="A119" s="327">
        <f t="shared" si="23"/>
        <v>0</v>
      </c>
      <c r="B119">
        <f t="shared" si="22"/>
        <v>1</v>
      </c>
      <c r="C119">
        <f t="shared" si="25"/>
        <v>0</v>
      </c>
      <c r="D119">
        <f t="shared" si="27"/>
        <v>0</v>
      </c>
      <c r="E119" s="96">
        <f t="shared" si="19"/>
        <v>0</v>
      </c>
      <c r="F119" s="330" t="s">
        <v>700</v>
      </c>
      <c r="G119" s="331">
        <v>12</v>
      </c>
      <c r="H119" s="50" t="s">
        <v>1352</v>
      </c>
      <c r="I119" s="331">
        <v>18</v>
      </c>
      <c r="J119" s="50" t="s">
        <v>1467</v>
      </c>
      <c r="K119" s="339">
        <v>20</v>
      </c>
      <c r="L119" s="337">
        <f t="shared" si="24"/>
        <v>1.5</v>
      </c>
    </row>
    <row r="120" spans="1:12" x14ac:dyDescent="0.2">
      <c r="A120" s="327">
        <f t="shared" si="23"/>
        <v>0</v>
      </c>
      <c r="B120">
        <f t="shared" si="22"/>
        <v>1</v>
      </c>
      <c r="C120">
        <f t="shared" si="25"/>
        <v>0</v>
      </c>
      <c r="D120">
        <f t="shared" si="27"/>
        <v>0</v>
      </c>
      <c r="E120" s="96">
        <f t="shared" si="19"/>
        <v>0</v>
      </c>
      <c r="F120" s="330" t="s">
        <v>700</v>
      </c>
      <c r="G120" s="331">
        <v>12</v>
      </c>
      <c r="H120" s="50" t="s">
        <v>1352</v>
      </c>
      <c r="I120" s="331">
        <v>19</v>
      </c>
      <c r="J120" s="50" t="s">
        <v>1468</v>
      </c>
      <c r="K120" s="339">
        <v>20</v>
      </c>
      <c r="L120" s="337">
        <f t="shared" si="24"/>
        <v>1.5833333333333333</v>
      </c>
    </row>
    <row r="121" spans="1:12" x14ac:dyDescent="0.2">
      <c r="A121" s="327">
        <f t="shared" si="23"/>
        <v>0</v>
      </c>
      <c r="B121">
        <f t="shared" si="22"/>
        <v>1</v>
      </c>
      <c r="C121">
        <f t="shared" si="25"/>
        <v>0</v>
      </c>
      <c r="D121">
        <f t="shared" si="27"/>
        <v>0</v>
      </c>
      <c r="E121" s="96">
        <f t="shared" si="19"/>
        <v>0</v>
      </c>
      <c r="F121" s="330" t="s">
        <v>700</v>
      </c>
      <c r="G121" s="331">
        <v>12</v>
      </c>
      <c r="H121" s="50" t="s">
        <v>1352</v>
      </c>
      <c r="I121" s="331">
        <v>20</v>
      </c>
      <c r="J121" s="50" t="s">
        <v>1469</v>
      </c>
      <c r="K121" s="339">
        <v>20</v>
      </c>
      <c r="L121" s="337">
        <f t="shared" si="24"/>
        <v>1.6666666666666667</v>
      </c>
    </row>
    <row r="122" spans="1:12" x14ac:dyDescent="0.2">
      <c r="A122" s="327">
        <f t="shared" si="23"/>
        <v>0</v>
      </c>
      <c r="B122">
        <f t="shared" si="22"/>
        <v>1</v>
      </c>
      <c r="C122">
        <f t="shared" si="25"/>
        <v>0</v>
      </c>
      <c r="D122">
        <f t="shared" si="27"/>
        <v>0</v>
      </c>
      <c r="E122" s="96">
        <f t="shared" si="19"/>
        <v>0</v>
      </c>
      <c r="F122" s="330" t="s">
        <v>700</v>
      </c>
      <c r="G122" s="331">
        <v>12</v>
      </c>
      <c r="H122" s="50" t="s">
        <v>1352</v>
      </c>
      <c r="I122" s="331">
        <v>21</v>
      </c>
      <c r="J122" s="50" t="s">
        <v>1470</v>
      </c>
      <c r="K122" s="339">
        <v>20</v>
      </c>
      <c r="L122" s="337">
        <f t="shared" si="24"/>
        <v>1.75</v>
      </c>
    </row>
    <row r="123" spans="1:12" x14ac:dyDescent="0.2">
      <c r="A123" s="327">
        <f>IF(F123=quote59,1,0)</f>
        <v>0</v>
      </c>
      <c r="B123">
        <f t="shared" si="22"/>
        <v>1</v>
      </c>
      <c r="C123">
        <f t="shared" si="25"/>
        <v>0</v>
      </c>
      <c r="D123">
        <f t="shared" si="27"/>
        <v>0</v>
      </c>
      <c r="E123" s="96">
        <f t="shared" si="19"/>
        <v>0</v>
      </c>
      <c r="F123" s="330" t="s">
        <v>700</v>
      </c>
      <c r="G123" s="331">
        <v>12</v>
      </c>
      <c r="H123" s="50" t="s">
        <v>1352</v>
      </c>
      <c r="I123" s="331">
        <v>22</v>
      </c>
      <c r="J123" s="50" t="s">
        <v>1471</v>
      </c>
      <c r="K123" s="339">
        <v>20</v>
      </c>
      <c r="L123" s="337">
        <f>+I123/G123</f>
        <v>1.8333333333333333</v>
      </c>
    </row>
    <row r="124" spans="1:12" x14ac:dyDescent="0.2">
      <c r="A124" s="327">
        <f>IF(F124=quote59,1,0)</f>
        <v>0</v>
      </c>
      <c r="B124">
        <f t="shared" si="22"/>
        <v>1</v>
      </c>
      <c r="C124">
        <f t="shared" si="25"/>
        <v>0</v>
      </c>
      <c r="D124">
        <f t="shared" si="27"/>
        <v>0</v>
      </c>
      <c r="E124" s="96">
        <f t="shared" si="19"/>
        <v>0</v>
      </c>
      <c r="F124" s="330" t="s">
        <v>700</v>
      </c>
      <c r="G124" s="331">
        <v>12</v>
      </c>
      <c r="H124" s="50" t="s">
        <v>1352</v>
      </c>
      <c r="I124" s="331">
        <v>30</v>
      </c>
      <c r="J124" s="50" t="s">
        <v>1472</v>
      </c>
      <c r="K124" s="339">
        <v>20</v>
      </c>
      <c r="L124" s="337">
        <f>+I124/G124</f>
        <v>2.5</v>
      </c>
    </row>
    <row r="125" spans="1:12" x14ac:dyDescent="0.2">
      <c r="A125" s="327">
        <f t="shared" ref="A125:A143" si="28">IF(F125=quote59,1,0)</f>
        <v>0</v>
      </c>
      <c r="B125">
        <f t="shared" ref="B125:B143" si="29">IF(AND($L125&gt;=$A$8,$L125&lt;=$A$9),1,0)</f>
        <v>0</v>
      </c>
      <c r="C125">
        <f t="shared" si="25"/>
        <v>1</v>
      </c>
      <c r="D125">
        <f t="shared" si="27"/>
        <v>0</v>
      </c>
      <c r="E125" s="96">
        <f t="shared" si="19"/>
        <v>0</v>
      </c>
      <c r="F125" s="330" t="s">
        <v>700</v>
      </c>
      <c r="G125" s="331">
        <v>12</v>
      </c>
      <c r="H125" s="50" t="s">
        <v>1352</v>
      </c>
      <c r="I125" s="331">
        <v>12</v>
      </c>
      <c r="J125" s="50" t="s">
        <v>1355</v>
      </c>
      <c r="K125" s="332">
        <f>3/4*25.4</f>
        <v>19.049999999999997</v>
      </c>
      <c r="L125" s="337">
        <f t="shared" ref="L125:L143" si="30">+I125/G125</f>
        <v>1</v>
      </c>
    </row>
    <row r="126" spans="1:12" x14ac:dyDescent="0.2">
      <c r="A126" s="327">
        <f t="shared" si="28"/>
        <v>0</v>
      </c>
      <c r="B126">
        <f t="shared" si="29"/>
        <v>0</v>
      </c>
      <c r="C126">
        <f t="shared" si="25"/>
        <v>1</v>
      </c>
      <c r="D126">
        <f t="shared" si="27"/>
        <v>0</v>
      </c>
      <c r="E126" s="96">
        <f t="shared" si="19"/>
        <v>0</v>
      </c>
      <c r="F126" s="330" t="s">
        <v>700</v>
      </c>
      <c r="G126" s="331">
        <v>12</v>
      </c>
      <c r="H126" s="50" t="s">
        <v>1352</v>
      </c>
      <c r="I126" s="331">
        <v>13</v>
      </c>
      <c r="J126" s="50" t="s">
        <v>1356</v>
      </c>
      <c r="K126" s="332">
        <f>3/4*25.4</f>
        <v>19.049999999999997</v>
      </c>
      <c r="L126" s="337">
        <f t="shared" si="30"/>
        <v>1.0833333333333333</v>
      </c>
    </row>
    <row r="127" spans="1:12" x14ac:dyDescent="0.2">
      <c r="A127" s="327">
        <f t="shared" si="28"/>
        <v>0</v>
      </c>
      <c r="B127">
        <f t="shared" si="29"/>
        <v>0</v>
      </c>
      <c r="C127">
        <f t="shared" si="25"/>
        <v>1</v>
      </c>
      <c r="D127">
        <f t="shared" si="27"/>
        <v>0</v>
      </c>
      <c r="E127" s="96">
        <f t="shared" si="19"/>
        <v>0</v>
      </c>
      <c r="F127" s="330" t="s">
        <v>700</v>
      </c>
      <c r="G127" s="331">
        <v>12</v>
      </c>
      <c r="H127" s="50" t="s">
        <v>1352</v>
      </c>
      <c r="I127" s="331">
        <v>14</v>
      </c>
      <c r="J127" s="50" t="s">
        <v>1357</v>
      </c>
      <c r="K127" s="332">
        <f>7/8*25.4</f>
        <v>22.224999999999998</v>
      </c>
      <c r="L127" s="337">
        <f t="shared" si="30"/>
        <v>1.1666666666666667</v>
      </c>
    </row>
    <row r="128" spans="1:12" x14ac:dyDescent="0.2">
      <c r="A128" s="327">
        <f t="shared" si="28"/>
        <v>0</v>
      </c>
      <c r="B128">
        <f t="shared" si="29"/>
        <v>0</v>
      </c>
      <c r="C128">
        <f t="shared" si="25"/>
        <v>1</v>
      </c>
      <c r="D128">
        <f t="shared" si="27"/>
        <v>0</v>
      </c>
      <c r="E128" s="96">
        <f t="shared" si="19"/>
        <v>0</v>
      </c>
      <c r="F128" s="330" t="s">
        <v>700</v>
      </c>
      <c r="G128" s="331">
        <v>12</v>
      </c>
      <c r="H128" s="50" t="s">
        <v>1352</v>
      </c>
      <c r="I128" s="331">
        <v>15</v>
      </c>
      <c r="J128" s="50" t="s">
        <v>1358</v>
      </c>
      <c r="K128" s="332">
        <f>7/8*25.4</f>
        <v>22.224999999999998</v>
      </c>
      <c r="L128" s="337">
        <f t="shared" si="30"/>
        <v>1.25</v>
      </c>
    </row>
    <row r="129" spans="1:12" x14ac:dyDescent="0.2">
      <c r="A129" s="327">
        <f t="shared" si="28"/>
        <v>0</v>
      </c>
      <c r="B129">
        <f t="shared" si="29"/>
        <v>1</v>
      </c>
      <c r="C129">
        <f t="shared" si="25"/>
        <v>1</v>
      </c>
      <c r="D129">
        <f t="shared" si="27"/>
        <v>0</v>
      </c>
      <c r="E129" s="96">
        <f t="shared" si="19"/>
        <v>0</v>
      </c>
      <c r="F129" s="330" t="s">
        <v>700</v>
      </c>
      <c r="G129" s="331">
        <v>12</v>
      </c>
      <c r="H129" s="50" t="s">
        <v>1352</v>
      </c>
      <c r="I129" s="331">
        <v>16</v>
      </c>
      <c r="J129" s="50" t="s">
        <v>1359</v>
      </c>
      <c r="K129" s="333">
        <f>15/16*25.4</f>
        <v>23.8125</v>
      </c>
      <c r="L129" s="337">
        <f t="shared" si="30"/>
        <v>1.3333333333333333</v>
      </c>
    </row>
    <row r="130" spans="1:12" x14ac:dyDescent="0.2">
      <c r="A130" s="327">
        <f t="shared" si="28"/>
        <v>0</v>
      </c>
      <c r="B130">
        <f t="shared" si="29"/>
        <v>1</v>
      </c>
      <c r="C130">
        <f t="shared" si="25"/>
        <v>1</v>
      </c>
      <c r="D130">
        <f t="shared" si="27"/>
        <v>0</v>
      </c>
      <c r="E130" s="96">
        <f t="shared" si="19"/>
        <v>0</v>
      </c>
      <c r="F130" s="330" t="s">
        <v>700</v>
      </c>
      <c r="G130" s="331">
        <v>12</v>
      </c>
      <c r="H130" s="50" t="s">
        <v>1352</v>
      </c>
      <c r="I130" s="331">
        <v>17</v>
      </c>
      <c r="J130" s="50" t="s">
        <v>1360</v>
      </c>
      <c r="K130" s="332">
        <f>1.0625*25.4</f>
        <v>26.987499999999997</v>
      </c>
      <c r="L130" s="337">
        <f t="shared" si="30"/>
        <v>1.4166666666666667</v>
      </c>
    </row>
    <row r="131" spans="1:12" x14ac:dyDescent="0.2">
      <c r="A131" s="327">
        <f t="shared" si="28"/>
        <v>0</v>
      </c>
      <c r="B131">
        <f t="shared" si="29"/>
        <v>1</v>
      </c>
      <c r="C131">
        <f t="shared" si="25"/>
        <v>1</v>
      </c>
      <c r="D131">
        <f t="shared" si="27"/>
        <v>0</v>
      </c>
      <c r="E131" s="96">
        <f t="shared" si="19"/>
        <v>0</v>
      </c>
      <c r="F131" s="330" t="s">
        <v>700</v>
      </c>
      <c r="G131" s="331">
        <v>12</v>
      </c>
      <c r="H131" s="50" t="s">
        <v>1352</v>
      </c>
      <c r="I131" s="331">
        <v>18</v>
      </c>
      <c r="J131" s="50" t="s">
        <v>1361</v>
      </c>
      <c r="K131" s="332">
        <f>1.1875*25.4</f>
        <v>30.162499999999998</v>
      </c>
      <c r="L131" s="337">
        <f t="shared" si="30"/>
        <v>1.5</v>
      </c>
    </row>
    <row r="132" spans="1:12" x14ac:dyDescent="0.2">
      <c r="A132" s="327">
        <f t="shared" si="28"/>
        <v>0</v>
      </c>
      <c r="B132">
        <f t="shared" si="29"/>
        <v>1</v>
      </c>
      <c r="C132">
        <f t="shared" si="25"/>
        <v>1</v>
      </c>
      <c r="D132">
        <f t="shared" si="27"/>
        <v>0</v>
      </c>
      <c r="E132" s="96">
        <f t="shared" si="19"/>
        <v>0</v>
      </c>
      <c r="F132" s="330" t="s">
        <v>700</v>
      </c>
      <c r="G132" s="331">
        <v>12</v>
      </c>
      <c r="H132" s="50" t="s">
        <v>1352</v>
      </c>
      <c r="I132" s="331">
        <v>19</v>
      </c>
      <c r="J132" s="50" t="s">
        <v>1362</v>
      </c>
      <c r="K132" s="328">
        <f>1.25*25.4</f>
        <v>31.75</v>
      </c>
      <c r="L132" s="337">
        <f t="shared" si="30"/>
        <v>1.5833333333333333</v>
      </c>
    </row>
    <row r="133" spans="1:12" x14ac:dyDescent="0.2">
      <c r="A133" s="327">
        <f t="shared" si="28"/>
        <v>0</v>
      </c>
      <c r="B133">
        <f t="shared" si="29"/>
        <v>1</v>
      </c>
      <c r="C133">
        <f t="shared" si="25"/>
        <v>1</v>
      </c>
      <c r="D133">
        <f t="shared" si="27"/>
        <v>0</v>
      </c>
      <c r="E133" s="96">
        <f t="shared" si="19"/>
        <v>0</v>
      </c>
      <c r="F133" s="330" t="s">
        <v>700</v>
      </c>
      <c r="G133" s="331">
        <v>12</v>
      </c>
      <c r="H133" s="50" t="s">
        <v>1352</v>
      </c>
      <c r="I133" s="331">
        <v>20</v>
      </c>
      <c r="J133" s="50" t="s">
        <v>1363</v>
      </c>
      <c r="K133" s="328">
        <f>1.3125*25.4</f>
        <v>33.337499999999999</v>
      </c>
      <c r="L133" s="337">
        <f t="shared" si="30"/>
        <v>1.6666666666666667</v>
      </c>
    </row>
    <row r="134" spans="1:12" x14ac:dyDescent="0.2">
      <c r="A134" s="327">
        <f t="shared" si="28"/>
        <v>0</v>
      </c>
      <c r="B134">
        <f t="shared" si="29"/>
        <v>1</v>
      </c>
      <c r="C134">
        <f t="shared" si="25"/>
        <v>1</v>
      </c>
      <c r="D134">
        <f t="shared" si="27"/>
        <v>0</v>
      </c>
      <c r="E134" s="96">
        <f t="shared" si="19"/>
        <v>0</v>
      </c>
      <c r="F134" s="330" t="s">
        <v>700</v>
      </c>
      <c r="G134" s="331">
        <v>12</v>
      </c>
      <c r="H134" s="50" t="s">
        <v>1352</v>
      </c>
      <c r="I134" s="331">
        <v>21</v>
      </c>
      <c r="J134" s="50" t="s">
        <v>1364</v>
      </c>
      <c r="K134" s="328">
        <f>1.25*25.4</f>
        <v>31.75</v>
      </c>
      <c r="L134" s="337">
        <f t="shared" si="30"/>
        <v>1.75</v>
      </c>
    </row>
    <row r="135" spans="1:12" x14ac:dyDescent="0.2">
      <c r="A135" s="327">
        <f t="shared" si="28"/>
        <v>0</v>
      </c>
      <c r="B135">
        <f t="shared" si="29"/>
        <v>1</v>
      </c>
      <c r="C135">
        <f t="shared" si="25"/>
        <v>1</v>
      </c>
      <c r="D135">
        <f t="shared" si="27"/>
        <v>0</v>
      </c>
      <c r="E135" s="96">
        <f t="shared" si="19"/>
        <v>0</v>
      </c>
      <c r="F135" s="330" t="s">
        <v>700</v>
      </c>
      <c r="G135" s="331">
        <v>12</v>
      </c>
      <c r="H135" s="50" t="s">
        <v>1352</v>
      </c>
      <c r="I135" s="331">
        <v>22</v>
      </c>
      <c r="J135" s="50" t="s">
        <v>1365</v>
      </c>
      <c r="K135" s="328">
        <f>1.375*25.4</f>
        <v>34.924999999999997</v>
      </c>
      <c r="L135" s="337">
        <f t="shared" si="30"/>
        <v>1.8333333333333333</v>
      </c>
    </row>
    <row r="136" spans="1:12" x14ac:dyDescent="0.2">
      <c r="A136" s="327">
        <f t="shared" si="28"/>
        <v>0</v>
      </c>
      <c r="B136">
        <f t="shared" si="29"/>
        <v>1</v>
      </c>
      <c r="C136">
        <f t="shared" si="25"/>
        <v>1</v>
      </c>
      <c r="D136">
        <f t="shared" si="27"/>
        <v>0</v>
      </c>
      <c r="E136" s="96">
        <f t="shared" si="19"/>
        <v>0</v>
      </c>
      <c r="F136" s="330" t="s">
        <v>700</v>
      </c>
      <c r="G136" s="331">
        <v>12</v>
      </c>
      <c r="H136" s="50" t="s">
        <v>1352</v>
      </c>
      <c r="I136" s="331">
        <v>23</v>
      </c>
      <c r="J136" s="50" t="s">
        <v>1366</v>
      </c>
      <c r="K136" s="328">
        <f>1.375*25.4</f>
        <v>34.924999999999997</v>
      </c>
      <c r="L136" s="337">
        <f t="shared" si="30"/>
        <v>1.9166666666666667</v>
      </c>
    </row>
    <row r="137" spans="1:12" x14ac:dyDescent="0.2">
      <c r="A137" s="327">
        <f t="shared" si="28"/>
        <v>0</v>
      </c>
      <c r="B137">
        <f t="shared" si="29"/>
        <v>1</v>
      </c>
      <c r="C137">
        <f t="shared" si="25"/>
        <v>1</v>
      </c>
      <c r="D137">
        <f t="shared" si="27"/>
        <v>0</v>
      </c>
      <c r="E137" s="96">
        <f t="shared" si="19"/>
        <v>0</v>
      </c>
      <c r="F137" s="330" t="s">
        <v>700</v>
      </c>
      <c r="G137" s="331">
        <v>12</v>
      </c>
      <c r="H137" s="50" t="s">
        <v>1352</v>
      </c>
      <c r="I137" s="331">
        <v>24</v>
      </c>
      <c r="J137" s="50" t="s">
        <v>1367</v>
      </c>
      <c r="K137" s="328">
        <f>1.5625*25.4</f>
        <v>39.6875</v>
      </c>
      <c r="L137" s="337">
        <f t="shared" si="30"/>
        <v>2</v>
      </c>
    </row>
    <row r="138" spans="1:12" x14ac:dyDescent="0.2">
      <c r="A138" s="327">
        <f t="shared" si="28"/>
        <v>0</v>
      </c>
      <c r="B138">
        <f t="shared" si="29"/>
        <v>1</v>
      </c>
      <c r="C138">
        <f t="shared" si="25"/>
        <v>1</v>
      </c>
      <c r="D138">
        <f t="shared" si="27"/>
        <v>0</v>
      </c>
      <c r="E138" s="96">
        <f t="shared" si="19"/>
        <v>0</v>
      </c>
      <c r="F138" s="330" t="s">
        <v>700</v>
      </c>
      <c r="G138" s="331">
        <v>12</v>
      </c>
      <c r="H138" s="50" t="s">
        <v>1352</v>
      </c>
      <c r="I138" s="331">
        <v>25</v>
      </c>
      <c r="J138" s="50" t="s">
        <v>1456</v>
      </c>
      <c r="K138" s="328">
        <f t="shared" ref="K138:K143" si="31">1.625*25.4</f>
        <v>41.274999999999999</v>
      </c>
      <c r="L138" s="337">
        <f t="shared" si="30"/>
        <v>2.0833333333333335</v>
      </c>
    </row>
    <row r="139" spans="1:12" x14ac:dyDescent="0.2">
      <c r="A139" s="327">
        <f t="shared" si="28"/>
        <v>0</v>
      </c>
      <c r="B139">
        <f t="shared" si="29"/>
        <v>1</v>
      </c>
      <c r="C139">
        <f t="shared" si="25"/>
        <v>1</v>
      </c>
      <c r="D139">
        <f t="shared" si="27"/>
        <v>0</v>
      </c>
      <c r="E139" s="96">
        <f t="shared" si="19"/>
        <v>0</v>
      </c>
      <c r="F139" s="330" t="s">
        <v>700</v>
      </c>
      <c r="G139" s="331">
        <v>12</v>
      </c>
      <c r="H139" s="50" t="s">
        <v>1352</v>
      </c>
      <c r="I139" s="331">
        <v>26</v>
      </c>
      <c r="J139" s="50" t="s">
        <v>1457</v>
      </c>
      <c r="K139" s="328">
        <f t="shared" si="31"/>
        <v>41.274999999999999</v>
      </c>
      <c r="L139" s="337">
        <f t="shared" si="30"/>
        <v>2.1666666666666665</v>
      </c>
    </row>
    <row r="140" spans="1:12" x14ac:dyDescent="0.2">
      <c r="A140" s="327">
        <f t="shared" si="28"/>
        <v>0</v>
      </c>
      <c r="B140">
        <f t="shared" si="29"/>
        <v>1</v>
      </c>
      <c r="C140">
        <f t="shared" si="25"/>
        <v>1</v>
      </c>
      <c r="D140">
        <f t="shared" si="27"/>
        <v>0</v>
      </c>
      <c r="E140" s="96">
        <f t="shared" si="19"/>
        <v>0</v>
      </c>
      <c r="F140" s="330" t="s">
        <v>700</v>
      </c>
      <c r="G140" s="331">
        <v>12</v>
      </c>
      <c r="H140" s="50" t="s">
        <v>1352</v>
      </c>
      <c r="I140" s="331">
        <v>27</v>
      </c>
      <c r="J140" s="50" t="s">
        <v>1458</v>
      </c>
      <c r="K140" s="328">
        <f t="shared" si="31"/>
        <v>41.274999999999999</v>
      </c>
      <c r="L140" s="337">
        <f t="shared" si="30"/>
        <v>2.25</v>
      </c>
    </row>
    <row r="141" spans="1:12" x14ac:dyDescent="0.2">
      <c r="A141" s="327">
        <f t="shared" si="28"/>
        <v>0</v>
      </c>
      <c r="B141">
        <f t="shared" si="29"/>
        <v>1</v>
      </c>
      <c r="C141">
        <f t="shared" si="25"/>
        <v>1</v>
      </c>
      <c r="D141">
        <f t="shared" si="27"/>
        <v>0</v>
      </c>
      <c r="E141" s="96">
        <f t="shared" si="19"/>
        <v>0</v>
      </c>
      <c r="F141" s="330" t="s">
        <v>700</v>
      </c>
      <c r="G141" s="331">
        <v>12</v>
      </c>
      <c r="H141" s="50" t="s">
        <v>1352</v>
      </c>
      <c r="I141" s="331">
        <v>28</v>
      </c>
      <c r="J141" s="50" t="s">
        <v>1459</v>
      </c>
      <c r="K141" s="328">
        <f t="shared" si="31"/>
        <v>41.274999999999999</v>
      </c>
      <c r="L141" s="337">
        <f t="shared" si="30"/>
        <v>2.3333333333333335</v>
      </c>
    </row>
    <row r="142" spans="1:12" x14ac:dyDescent="0.2">
      <c r="A142" s="327">
        <f t="shared" si="28"/>
        <v>0</v>
      </c>
      <c r="B142">
        <f t="shared" si="29"/>
        <v>1</v>
      </c>
      <c r="C142">
        <f t="shared" si="25"/>
        <v>1</v>
      </c>
      <c r="D142">
        <f t="shared" si="27"/>
        <v>0</v>
      </c>
      <c r="E142" s="96">
        <f t="shared" si="19"/>
        <v>0</v>
      </c>
      <c r="F142" s="330" t="s">
        <v>700</v>
      </c>
      <c r="G142" s="331">
        <v>12</v>
      </c>
      <c r="H142" s="50" t="s">
        <v>1352</v>
      </c>
      <c r="I142" s="331">
        <v>30</v>
      </c>
      <c r="J142" s="50" t="s">
        <v>1460</v>
      </c>
      <c r="K142" s="328">
        <f t="shared" si="31"/>
        <v>41.274999999999999</v>
      </c>
      <c r="L142" s="337">
        <f t="shared" si="30"/>
        <v>2.5</v>
      </c>
    </row>
    <row r="143" spans="1:12" ht="13.5" thickBot="1" x14ac:dyDescent="0.25">
      <c r="A143" s="327">
        <f t="shared" si="28"/>
        <v>0</v>
      </c>
      <c r="B143">
        <f t="shared" si="29"/>
        <v>0</v>
      </c>
      <c r="C143">
        <f t="shared" si="25"/>
        <v>1</v>
      </c>
      <c r="D143">
        <f t="shared" si="27"/>
        <v>0</v>
      </c>
      <c r="E143" s="145">
        <f t="shared" si="19"/>
        <v>0</v>
      </c>
      <c r="F143" s="341" t="s">
        <v>700</v>
      </c>
      <c r="G143" s="342">
        <v>12</v>
      </c>
      <c r="H143" s="53" t="s">
        <v>1352</v>
      </c>
      <c r="I143" s="342">
        <v>32</v>
      </c>
      <c r="J143" s="53" t="s">
        <v>1481</v>
      </c>
      <c r="K143" s="343">
        <f t="shared" si="31"/>
        <v>41.274999999999999</v>
      </c>
      <c r="L143" s="344">
        <f t="shared" si="30"/>
        <v>2.6666666666666665</v>
      </c>
    </row>
    <row r="144" spans="1:12" x14ac:dyDescent="0.2">
      <c r="A144" s="448">
        <f t="shared" ref="A144:A182" si="32">IF(F144=quote59,1,0)</f>
        <v>0</v>
      </c>
      <c r="B144" s="87">
        <f t="shared" ref="B144:B165" si="33">IF(AND($L144&gt;=$A$8,$L144&lt;=$A$9),1,0)</f>
        <v>0</v>
      </c>
      <c r="C144">
        <f t="shared" si="25"/>
        <v>0</v>
      </c>
      <c r="D144">
        <f t="shared" si="27"/>
        <v>0</v>
      </c>
      <c r="E144" s="96">
        <f>IF(D144=1,MIN(A144:B144),MIN(A144:C144))</f>
        <v>0</v>
      </c>
      <c r="F144" s="449" t="s">
        <v>691</v>
      </c>
      <c r="G144" s="450">
        <v>12</v>
      </c>
      <c r="H144" s="451" t="s">
        <v>1494</v>
      </c>
      <c r="I144" s="450">
        <v>14</v>
      </c>
      <c r="J144" s="451" t="s">
        <v>1186</v>
      </c>
      <c r="K144" s="402">
        <v>20</v>
      </c>
      <c r="L144" s="452">
        <f t="shared" ref="L144:L153" si="34">+I144/G144</f>
        <v>1.1666666666666667</v>
      </c>
    </row>
    <row r="145" spans="1:12" x14ac:dyDescent="0.2">
      <c r="A145" s="453">
        <f>IF(F145=quote59,1,0)</f>
        <v>0</v>
      </c>
      <c r="B145">
        <f t="shared" si="33"/>
        <v>0</v>
      </c>
      <c r="C145">
        <f t="shared" si="25"/>
        <v>0</v>
      </c>
      <c r="D145">
        <f t="shared" si="27"/>
        <v>0</v>
      </c>
      <c r="E145" s="96">
        <f t="shared" ref="E145:E153" si="35">IF(D145=1,MIN(A145:B145),MIN(A145:C145))</f>
        <v>0</v>
      </c>
      <c r="F145" s="330" t="s">
        <v>691</v>
      </c>
      <c r="G145" s="331">
        <v>12</v>
      </c>
      <c r="H145" s="50" t="s">
        <v>1494</v>
      </c>
      <c r="I145" s="331">
        <v>15</v>
      </c>
      <c r="J145" s="50" t="s">
        <v>1187</v>
      </c>
      <c r="K145" s="402">
        <v>20</v>
      </c>
      <c r="L145" s="454">
        <f>+I145/G145</f>
        <v>1.25</v>
      </c>
    </row>
    <row r="146" spans="1:12" x14ac:dyDescent="0.2">
      <c r="A146" s="453">
        <f t="shared" si="32"/>
        <v>0</v>
      </c>
      <c r="B146">
        <f t="shared" si="33"/>
        <v>1</v>
      </c>
      <c r="C146">
        <f t="shared" si="25"/>
        <v>0</v>
      </c>
      <c r="D146">
        <f t="shared" si="27"/>
        <v>0</v>
      </c>
      <c r="E146" s="96">
        <f t="shared" si="35"/>
        <v>0</v>
      </c>
      <c r="F146" s="330" t="s">
        <v>691</v>
      </c>
      <c r="G146" s="331">
        <v>12</v>
      </c>
      <c r="H146" s="50" t="s">
        <v>1494</v>
      </c>
      <c r="I146" s="331">
        <v>16</v>
      </c>
      <c r="J146" s="50" t="s">
        <v>1188</v>
      </c>
      <c r="K146" s="402">
        <v>20</v>
      </c>
      <c r="L146" s="454">
        <f t="shared" si="34"/>
        <v>1.3333333333333333</v>
      </c>
    </row>
    <row r="147" spans="1:12" x14ac:dyDescent="0.2">
      <c r="A147" s="453">
        <f t="shared" si="32"/>
        <v>0</v>
      </c>
      <c r="B147">
        <f t="shared" si="33"/>
        <v>1</v>
      </c>
      <c r="C147">
        <f t="shared" si="25"/>
        <v>0</v>
      </c>
      <c r="D147">
        <f t="shared" si="27"/>
        <v>0</v>
      </c>
      <c r="E147" s="96">
        <f t="shared" si="35"/>
        <v>0</v>
      </c>
      <c r="F147" s="330" t="s">
        <v>691</v>
      </c>
      <c r="G147" s="331">
        <v>12</v>
      </c>
      <c r="H147" s="50" t="s">
        <v>1494</v>
      </c>
      <c r="I147" s="331">
        <v>17</v>
      </c>
      <c r="J147" s="50" t="s">
        <v>1189</v>
      </c>
      <c r="K147" s="402">
        <v>20</v>
      </c>
      <c r="L147" s="454">
        <f t="shared" si="34"/>
        <v>1.4166666666666667</v>
      </c>
    </row>
    <row r="148" spans="1:12" x14ac:dyDescent="0.2">
      <c r="A148" s="453">
        <f t="shared" si="32"/>
        <v>0</v>
      </c>
      <c r="B148">
        <f t="shared" si="33"/>
        <v>1</v>
      </c>
      <c r="C148">
        <f t="shared" si="25"/>
        <v>0</v>
      </c>
      <c r="D148">
        <f t="shared" si="27"/>
        <v>0</v>
      </c>
      <c r="E148" s="96">
        <f t="shared" si="35"/>
        <v>0</v>
      </c>
      <c r="F148" s="330" t="s">
        <v>691</v>
      </c>
      <c r="G148" s="331">
        <v>12</v>
      </c>
      <c r="H148" s="50" t="s">
        <v>1494</v>
      </c>
      <c r="I148" s="331">
        <v>19</v>
      </c>
      <c r="J148" s="50" t="s">
        <v>1190</v>
      </c>
      <c r="K148" s="402">
        <v>20</v>
      </c>
      <c r="L148" s="454">
        <f t="shared" si="34"/>
        <v>1.5833333333333333</v>
      </c>
    </row>
    <row r="149" spans="1:12" x14ac:dyDescent="0.2">
      <c r="A149" s="453">
        <f t="shared" si="32"/>
        <v>0</v>
      </c>
      <c r="B149">
        <f t="shared" si="33"/>
        <v>1</v>
      </c>
      <c r="C149">
        <f t="shared" si="25"/>
        <v>0</v>
      </c>
      <c r="D149">
        <f t="shared" si="27"/>
        <v>0</v>
      </c>
      <c r="E149" s="96">
        <f t="shared" si="35"/>
        <v>0</v>
      </c>
      <c r="F149" s="330" t="s">
        <v>691</v>
      </c>
      <c r="G149" s="331">
        <v>12</v>
      </c>
      <c r="H149" s="50" t="s">
        <v>1494</v>
      </c>
      <c r="I149" s="331">
        <v>20</v>
      </c>
      <c r="J149" s="50" t="s">
        <v>1191</v>
      </c>
      <c r="K149" s="402">
        <v>20</v>
      </c>
      <c r="L149" s="454">
        <f t="shared" si="34"/>
        <v>1.6666666666666667</v>
      </c>
    </row>
    <row r="150" spans="1:12" x14ac:dyDescent="0.2">
      <c r="A150" s="453">
        <f>IF(F150=quote59,1,0)</f>
        <v>0</v>
      </c>
      <c r="B150">
        <f t="shared" si="33"/>
        <v>1</v>
      </c>
      <c r="C150">
        <f t="shared" si="25"/>
        <v>0</v>
      </c>
      <c r="D150">
        <f t="shared" si="27"/>
        <v>0</v>
      </c>
      <c r="E150" s="96">
        <f t="shared" si="35"/>
        <v>0</v>
      </c>
      <c r="F150" s="330" t="s">
        <v>691</v>
      </c>
      <c r="G150" s="331">
        <v>12</v>
      </c>
      <c r="H150" s="50" t="s">
        <v>1494</v>
      </c>
      <c r="I150" s="331">
        <v>21</v>
      </c>
      <c r="J150" s="50" t="s">
        <v>1192</v>
      </c>
      <c r="K150" s="402">
        <v>20</v>
      </c>
      <c r="L150" s="454">
        <f>+I150/G150</f>
        <v>1.75</v>
      </c>
    </row>
    <row r="151" spans="1:12" x14ac:dyDescent="0.2">
      <c r="A151" s="453">
        <f>IF(F151=quote59,1,0)</f>
        <v>0</v>
      </c>
      <c r="B151">
        <f t="shared" si="33"/>
        <v>1</v>
      </c>
      <c r="C151">
        <f t="shared" si="25"/>
        <v>0</v>
      </c>
      <c r="D151">
        <f>IF(AND(quote76=20,K151=20),1,0)</f>
        <v>0</v>
      </c>
      <c r="E151" s="96">
        <f>IF(D151=1,MIN(A151:B151),MIN(A151:C151))</f>
        <v>0</v>
      </c>
      <c r="F151" s="330" t="s">
        <v>691</v>
      </c>
      <c r="G151" s="331">
        <v>12</v>
      </c>
      <c r="H151" s="50" t="s">
        <v>1494</v>
      </c>
      <c r="I151" s="331">
        <v>22</v>
      </c>
      <c r="J151" s="50" t="s">
        <v>1195</v>
      </c>
      <c r="K151" s="402">
        <v>20</v>
      </c>
      <c r="L151" s="454">
        <f>+I151/G151</f>
        <v>1.8333333333333333</v>
      </c>
    </row>
    <row r="152" spans="1:12" x14ac:dyDescent="0.2">
      <c r="A152" s="453">
        <f>IF(F152=quote59,1,0)</f>
        <v>0</v>
      </c>
      <c r="B152">
        <f t="shared" si="33"/>
        <v>1</v>
      </c>
      <c r="C152">
        <f t="shared" si="25"/>
        <v>0</v>
      </c>
      <c r="D152">
        <f t="shared" si="27"/>
        <v>0</v>
      </c>
      <c r="E152" s="96">
        <f t="shared" si="35"/>
        <v>0</v>
      </c>
      <c r="F152" s="330" t="s">
        <v>691</v>
      </c>
      <c r="G152" s="331">
        <v>12</v>
      </c>
      <c r="H152" s="50" t="s">
        <v>1494</v>
      </c>
      <c r="I152" s="331">
        <v>23</v>
      </c>
      <c r="J152" s="50" t="s">
        <v>1193</v>
      </c>
      <c r="K152" s="402">
        <v>20</v>
      </c>
      <c r="L152" s="454">
        <f>+I152/G152</f>
        <v>1.9166666666666667</v>
      </c>
    </row>
    <row r="153" spans="1:12" ht="13.5" thickBot="1" x14ac:dyDescent="0.25">
      <c r="A153" s="453">
        <f t="shared" si="32"/>
        <v>0</v>
      </c>
      <c r="B153">
        <f t="shared" si="33"/>
        <v>1</v>
      </c>
      <c r="C153">
        <f t="shared" si="25"/>
        <v>0</v>
      </c>
      <c r="D153">
        <f t="shared" si="27"/>
        <v>0</v>
      </c>
      <c r="E153" s="96">
        <f t="shared" si="35"/>
        <v>0</v>
      </c>
      <c r="F153" s="341" t="s">
        <v>691</v>
      </c>
      <c r="G153" s="342">
        <v>12</v>
      </c>
      <c r="H153" s="53" t="s">
        <v>1494</v>
      </c>
      <c r="I153" s="342">
        <v>25</v>
      </c>
      <c r="J153" s="53" t="s">
        <v>1194</v>
      </c>
      <c r="K153" s="402">
        <v>20</v>
      </c>
      <c r="L153" s="455">
        <f t="shared" si="34"/>
        <v>2.0833333333333335</v>
      </c>
    </row>
    <row r="154" spans="1:12" ht="13.5" thickTop="1" x14ac:dyDescent="0.2">
      <c r="A154" s="456">
        <f t="shared" ref="A154:A165" si="36">IF(F154=quote59,1,0)</f>
        <v>0</v>
      </c>
      <c r="B154" s="346">
        <f t="shared" si="33"/>
        <v>0</v>
      </c>
      <c r="C154">
        <f t="shared" si="25"/>
        <v>1</v>
      </c>
      <c r="D154">
        <f t="shared" si="27"/>
        <v>0</v>
      </c>
      <c r="E154" s="96">
        <f t="shared" ref="E154:E165" si="37">IF(D154=1,MIN(A154:D154),MIN(A154:C154))</f>
        <v>0</v>
      </c>
      <c r="F154" s="347" t="s">
        <v>691</v>
      </c>
      <c r="G154" s="348">
        <v>12</v>
      </c>
      <c r="H154" s="349" t="s">
        <v>1494</v>
      </c>
      <c r="I154" s="348">
        <v>12</v>
      </c>
      <c r="J154" s="447" t="s">
        <v>1175</v>
      </c>
      <c r="K154" s="352">
        <f>3/4*25.4</f>
        <v>19.049999999999997</v>
      </c>
      <c r="L154" s="457">
        <f t="shared" ref="L154:L165" si="38">+I154/G154</f>
        <v>1</v>
      </c>
    </row>
    <row r="155" spans="1:12" x14ac:dyDescent="0.2">
      <c r="A155" s="453">
        <f t="shared" si="36"/>
        <v>0</v>
      </c>
      <c r="B155">
        <f t="shared" si="33"/>
        <v>0</v>
      </c>
      <c r="C155">
        <f t="shared" si="25"/>
        <v>1</v>
      </c>
      <c r="D155">
        <f t="shared" si="27"/>
        <v>0</v>
      </c>
      <c r="E155" s="96">
        <f t="shared" si="37"/>
        <v>0</v>
      </c>
      <c r="F155" s="330" t="s">
        <v>691</v>
      </c>
      <c r="G155" s="331">
        <v>12</v>
      </c>
      <c r="H155" s="50" t="s">
        <v>1494</v>
      </c>
      <c r="I155" s="331">
        <v>13</v>
      </c>
      <c r="J155" s="50" t="s">
        <v>1176</v>
      </c>
      <c r="K155" s="332">
        <f>3/4*25.4</f>
        <v>19.049999999999997</v>
      </c>
      <c r="L155" s="454">
        <f t="shared" si="38"/>
        <v>1.0833333333333333</v>
      </c>
    </row>
    <row r="156" spans="1:12" x14ac:dyDescent="0.2">
      <c r="A156" s="453">
        <f t="shared" si="36"/>
        <v>0</v>
      </c>
      <c r="B156">
        <f t="shared" si="33"/>
        <v>0</v>
      </c>
      <c r="C156">
        <f t="shared" si="25"/>
        <v>1</v>
      </c>
      <c r="D156">
        <f t="shared" si="27"/>
        <v>0</v>
      </c>
      <c r="E156" s="96">
        <f t="shared" si="37"/>
        <v>0</v>
      </c>
      <c r="F156" s="330" t="s">
        <v>691</v>
      </c>
      <c r="G156" s="331">
        <v>12</v>
      </c>
      <c r="H156" s="50" t="s">
        <v>1494</v>
      </c>
      <c r="I156" s="331">
        <v>14</v>
      </c>
      <c r="J156" s="50" t="s">
        <v>1177</v>
      </c>
      <c r="K156" s="332">
        <f>7/8*25.4</f>
        <v>22.224999999999998</v>
      </c>
      <c r="L156" s="454">
        <f t="shared" si="38"/>
        <v>1.1666666666666667</v>
      </c>
    </row>
    <row r="157" spans="1:12" x14ac:dyDescent="0.2">
      <c r="A157" s="453">
        <f t="shared" si="36"/>
        <v>0</v>
      </c>
      <c r="B157">
        <f t="shared" si="33"/>
        <v>0</v>
      </c>
      <c r="C157">
        <f t="shared" si="25"/>
        <v>1</v>
      </c>
      <c r="D157">
        <f t="shared" si="27"/>
        <v>0</v>
      </c>
      <c r="E157" s="96">
        <f t="shared" si="37"/>
        <v>0</v>
      </c>
      <c r="F157" s="330" t="s">
        <v>691</v>
      </c>
      <c r="G157" s="331">
        <v>12</v>
      </c>
      <c r="H157" s="50" t="s">
        <v>1494</v>
      </c>
      <c r="I157" s="331">
        <v>15</v>
      </c>
      <c r="J157" s="50" t="s">
        <v>1178</v>
      </c>
      <c r="K157" s="333">
        <f>15/16*25.4</f>
        <v>23.8125</v>
      </c>
      <c r="L157" s="454">
        <f t="shared" si="38"/>
        <v>1.25</v>
      </c>
    </row>
    <row r="158" spans="1:12" x14ac:dyDescent="0.2">
      <c r="A158" s="453">
        <f t="shared" si="36"/>
        <v>0</v>
      </c>
      <c r="B158">
        <f t="shared" si="33"/>
        <v>1</v>
      </c>
      <c r="C158">
        <f t="shared" si="25"/>
        <v>1</v>
      </c>
      <c r="D158">
        <f t="shared" si="27"/>
        <v>0</v>
      </c>
      <c r="E158" s="96">
        <f t="shared" si="37"/>
        <v>0</v>
      </c>
      <c r="F158" s="330" t="s">
        <v>691</v>
      </c>
      <c r="G158" s="331">
        <v>12</v>
      </c>
      <c r="H158" s="50" t="s">
        <v>1494</v>
      </c>
      <c r="I158" s="331">
        <v>16</v>
      </c>
      <c r="J158" s="50" t="s">
        <v>1179</v>
      </c>
      <c r="K158" s="333">
        <f>15/16*25.4</f>
        <v>23.8125</v>
      </c>
      <c r="L158" s="454">
        <f t="shared" si="38"/>
        <v>1.3333333333333333</v>
      </c>
    </row>
    <row r="159" spans="1:12" x14ac:dyDescent="0.2">
      <c r="A159" s="453">
        <f t="shared" si="36"/>
        <v>0</v>
      </c>
      <c r="B159">
        <f t="shared" si="33"/>
        <v>1</v>
      </c>
      <c r="C159">
        <f t="shared" si="25"/>
        <v>1</v>
      </c>
      <c r="D159">
        <f t="shared" si="27"/>
        <v>0</v>
      </c>
      <c r="E159" s="96">
        <f t="shared" si="37"/>
        <v>0</v>
      </c>
      <c r="F159" s="330" t="s">
        <v>691</v>
      </c>
      <c r="G159" s="331">
        <v>12</v>
      </c>
      <c r="H159" s="50" t="s">
        <v>1494</v>
      </c>
      <c r="I159" s="331">
        <v>17</v>
      </c>
      <c r="J159" s="50" t="s">
        <v>1180</v>
      </c>
      <c r="K159" s="332">
        <f>1.0625*25.4</f>
        <v>26.987499999999997</v>
      </c>
      <c r="L159" s="454">
        <f t="shared" si="38"/>
        <v>1.4166666666666667</v>
      </c>
    </row>
    <row r="160" spans="1:12" x14ac:dyDescent="0.2">
      <c r="A160" s="453">
        <f t="shared" si="36"/>
        <v>0</v>
      </c>
      <c r="B160">
        <f t="shared" si="33"/>
        <v>1</v>
      </c>
      <c r="C160">
        <f t="shared" ref="C160:C223" si="39">IF(D160=1,1,IF(AND($A$1&lt;=$K160,K160&lt;&gt;20),1,0))</f>
        <v>1</v>
      </c>
      <c r="D160">
        <f t="shared" si="27"/>
        <v>0</v>
      </c>
      <c r="E160" s="96">
        <f t="shared" si="37"/>
        <v>0</v>
      </c>
      <c r="F160" s="330" t="s">
        <v>691</v>
      </c>
      <c r="G160" s="331">
        <v>12</v>
      </c>
      <c r="H160" s="50" t="s">
        <v>1494</v>
      </c>
      <c r="I160" s="331">
        <v>19</v>
      </c>
      <c r="J160" s="50" t="s">
        <v>1181</v>
      </c>
      <c r="K160" s="328">
        <f>1.25*25.4</f>
        <v>31.75</v>
      </c>
      <c r="L160" s="454">
        <f t="shared" si="38"/>
        <v>1.5833333333333333</v>
      </c>
    </row>
    <row r="161" spans="1:12" x14ac:dyDescent="0.2">
      <c r="A161" s="453">
        <f t="shared" si="36"/>
        <v>0</v>
      </c>
      <c r="B161">
        <f t="shared" si="33"/>
        <v>1</v>
      </c>
      <c r="C161">
        <f t="shared" si="39"/>
        <v>1</v>
      </c>
      <c r="D161">
        <f t="shared" si="27"/>
        <v>0</v>
      </c>
      <c r="E161" s="96">
        <f t="shared" si="37"/>
        <v>0</v>
      </c>
      <c r="F161" s="330" t="s">
        <v>691</v>
      </c>
      <c r="G161" s="331">
        <v>12</v>
      </c>
      <c r="H161" s="50" t="s">
        <v>1494</v>
      </c>
      <c r="I161" s="331">
        <v>20</v>
      </c>
      <c r="J161" s="50" t="s">
        <v>1182</v>
      </c>
      <c r="K161" s="328">
        <f>1.3125*25.4</f>
        <v>33.337499999999999</v>
      </c>
      <c r="L161" s="454">
        <f t="shared" si="38"/>
        <v>1.6666666666666667</v>
      </c>
    </row>
    <row r="162" spans="1:12" x14ac:dyDescent="0.2">
      <c r="A162" s="453">
        <f t="shared" si="36"/>
        <v>0</v>
      </c>
      <c r="B162">
        <f t="shared" si="33"/>
        <v>1</v>
      </c>
      <c r="C162">
        <f t="shared" si="39"/>
        <v>1</v>
      </c>
      <c r="D162">
        <f t="shared" si="27"/>
        <v>0</v>
      </c>
      <c r="E162" s="96">
        <f t="shared" si="37"/>
        <v>0</v>
      </c>
      <c r="F162" s="330" t="s">
        <v>691</v>
      </c>
      <c r="G162" s="331">
        <v>12</v>
      </c>
      <c r="H162" s="50" t="s">
        <v>1494</v>
      </c>
      <c r="I162" s="331">
        <v>21</v>
      </c>
      <c r="J162" s="50" t="s">
        <v>1183</v>
      </c>
      <c r="K162" s="328">
        <f>1.3125*25.4</f>
        <v>33.337499999999999</v>
      </c>
      <c r="L162" s="454">
        <f t="shared" si="38"/>
        <v>1.75</v>
      </c>
    </row>
    <row r="163" spans="1:12" x14ac:dyDescent="0.2">
      <c r="A163" s="453">
        <f>IF(F163=quote59,1,0)</f>
        <v>0</v>
      </c>
      <c r="B163">
        <f t="shared" si="33"/>
        <v>1</v>
      </c>
      <c r="C163">
        <f t="shared" si="39"/>
        <v>1</v>
      </c>
      <c r="D163">
        <f>IF(AND(quote76=20,K163=20),1,0)</f>
        <v>0</v>
      </c>
      <c r="E163" s="96">
        <f>IF(D163=1,MIN(A163:D163),MIN(A163:C163))</f>
        <v>0</v>
      </c>
      <c r="F163" s="330" t="s">
        <v>691</v>
      </c>
      <c r="G163" s="331">
        <v>12</v>
      </c>
      <c r="H163" s="50" t="s">
        <v>1494</v>
      </c>
      <c r="I163" s="331">
        <v>22</v>
      </c>
      <c r="J163" s="50" t="s">
        <v>1196</v>
      </c>
      <c r="K163" s="328">
        <f>1.3125*25.4</f>
        <v>33.337499999999999</v>
      </c>
      <c r="L163" s="454">
        <f>+I163/G163</f>
        <v>1.8333333333333333</v>
      </c>
    </row>
    <row r="164" spans="1:12" x14ac:dyDescent="0.2">
      <c r="A164" s="453">
        <f t="shared" si="36"/>
        <v>0</v>
      </c>
      <c r="B164">
        <f t="shared" si="33"/>
        <v>1</v>
      </c>
      <c r="C164">
        <f t="shared" si="39"/>
        <v>1</v>
      </c>
      <c r="D164">
        <f t="shared" si="27"/>
        <v>0</v>
      </c>
      <c r="E164" s="96">
        <f t="shared" si="37"/>
        <v>0</v>
      </c>
      <c r="F164" s="330" t="s">
        <v>691</v>
      </c>
      <c r="G164" s="331">
        <v>12</v>
      </c>
      <c r="H164" s="50" t="s">
        <v>1494</v>
      </c>
      <c r="I164" s="331">
        <v>23</v>
      </c>
      <c r="J164" s="50" t="s">
        <v>1185</v>
      </c>
      <c r="K164" s="328">
        <f>1.3125*25.4</f>
        <v>33.337499999999999</v>
      </c>
      <c r="L164" s="454">
        <f t="shared" si="38"/>
        <v>1.9166666666666667</v>
      </c>
    </row>
    <row r="165" spans="1:12" ht="13.5" thickBot="1" x14ac:dyDescent="0.25">
      <c r="A165" s="458">
        <f t="shared" si="36"/>
        <v>0</v>
      </c>
      <c r="B165" s="89">
        <f t="shared" si="33"/>
        <v>1</v>
      </c>
      <c r="C165">
        <f t="shared" si="39"/>
        <v>1</v>
      </c>
      <c r="D165">
        <f t="shared" si="27"/>
        <v>0</v>
      </c>
      <c r="E165" s="96">
        <f t="shared" si="37"/>
        <v>0</v>
      </c>
      <c r="F165" s="459" t="s">
        <v>691</v>
      </c>
      <c r="G165" s="460">
        <v>12</v>
      </c>
      <c r="H165" s="178" t="s">
        <v>1494</v>
      </c>
      <c r="I165" s="460">
        <v>25</v>
      </c>
      <c r="J165" s="178" t="s">
        <v>1184</v>
      </c>
      <c r="K165" s="461">
        <f>1.625*25.4</f>
        <v>41.274999999999999</v>
      </c>
      <c r="L165" s="462">
        <f t="shared" si="38"/>
        <v>2.0833333333333335</v>
      </c>
    </row>
    <row r="166" spans="1:12" x14ac:dyDescent="0.2">
      <c r="A166" s="327">
        <f t="shared" si="32"/>
        <v>0</v>
      </c>
      <c r="B166">
        <f t="shared" ref="B166:B182" si="40">IF(AND($L166&gt;=$A$8,$L166&lt;=$A$9),1,0)</f>
        <v>0</v>
      </c>
      <c r="C166">
        <f t="shared" si="39"/>
        <v>0</v>
      </c>
      <c r="D166">
        <f t="shared" ref="D166:D182" si="41">IF(AND(quote76=20,K166=20),1,0)</f>
        <v>0</v>
      </c>
      <c r="E166" s="224">
        <f t="shared" ref="E166:E197" si="42">IF(D166=1,MIN(A166:D166),MIN(A166:C166))</f>
        <v>0</v>
      </c>
      <c r="F166" s="400" t="s">
        <v>704</v>
      </c>
      <c r="G166" s="401">
        <v>22</v>
      </c>
      <c r="H166" s="318" t="s">
        <v>1506</v>
      </c>
      <c r="I166" s="401">
        <v>14</v>
      </c>
      <c r="J166" s="318" t="s">
        <v>1499</v>
      </c>
      <c r="K166" s="402">
        <v>20</v>
      </c>
      <c r="L166" s="403">
        <f t="shared" ref="L166:L182" si="43">+I166/G166</f>
        <v>0.63636363636363635</v>
      </c>
    </row>
    <row r="167" spans="1:12" x14ac:dyDescent="0.2">
      <c r="A167" s="327">
        <f t="shared" si="32"/>
        <v>0</v>
      </c>
      <c r="B167">
        <f t="shared" si="40"/>
        <v>0</v>
      </c>
      <c r="C167">
        <f t="shared" si="39"/>
        <v>0</v>
      </c>
      <c r="D167">
        <f t="shared" si="41"/>
        <v>0</v>
      </c>
      <c r="E167" s="96">
        <f t="shared" si="42"/>
        <v>0</v>
      </c>
      <c r="F167" s="330" t="s">
        <v>704</v>
      </c>
      <c r="G167" s="331">
        <v>18</v>
      </c>
      <c r="H167" s="50" t="s">
        <v>1505</v>
      </c>
      <c r="I167" s="331">
        <v>14</v>
      </c>
      <c r="J167" s="50" t="s">
        <v>1499</v>
      </c>
      <c r="K167" s="339">
        <v>20</v>
      </c>
      <c r="L167" s="337">
        <f t="shared" si="43"/>
        <v>0.77777777777777779</v>
      </c>
    </row>
    <row r="168" spans="1:12" x14ac:dyDescent="0.2">
      <c r="A168" s="327">
        <f t="shared" si="32"/>
        <v>0</v>
      </c>
      <c r="B168">
        <f t="shared" si="40"/>
        <v>0</v>
      </c>
      <c r="C168">
        <f t="shared" si="39"/>
        <v>0</v>
      </c>
      <c r="D168">
        <f t="shared" si="41"/>
        <v>0</v>
      </c>
      <c r="E168" s="96">
        <f t="shared" si="42"/>
        <v>0</v>
      </c>
      <c r="F168" s="330" t="s">
        <v>704</v>
      </c>
      <c r="G168" s="331">
        <v>18</v>
      </c>
      <c r="H168" s="50" t="s">
        <v>1505</v>
      </c>
      <c r="I168" s="331">
        <v>15</v>
      </c>
      <c r="J168" s="50" t="s">
        <v>1464</v>
      </c>
      <c r="K168" s="339">
        <v>20</v>
      </c>
      <c r="L168" s="337">
        <f t="shared" si="43"/>
        <v>0.83333333333333337</v>
      </c>
    </row>
    <row r="169" spans="1:12" x14ac:dyDescent="0.2">
      <c r="A169" s="327">
        <f t="shared" si="32"/>
        <v>0</v>
      </c>
      <c r="B169">
        <f t="shared" si="40"/>
        <v>0</v>
      </c>
      <c r="C169">
        <f t="shared" si="39"/>
        <v>0</v>
      </c>
      <c r="D169">
        <f t="shared" si="41"/>
        <v>0</v>
      </c>
      <c r="E169" s="96">
        <f t="shared" si="42"/>
        <v>0</v>
      </c>
      <c r="F169" s="330" t="s">
        <v>704</v>
      </c>
      <c r="G169" s="331">
        <v>18</v>
      </c>
      <c r="H169" s="50" t="s">
        <v>1505</v>
      </c>
      <c r="I169" s="331">
        <v>16</v>
      </c>
      <c r="J169" s="50" t="s">
        <v>1465</v>
      </c>
      <c r="K169" s="339">
        <v>20</v>
      </c>
      <c r="L169" s="337">
        <f t="shared" si="43"/>
        <v>0.88888888888888884</v>
      </c>
    </row>
    <row r="170" spans="1:12" x14ac:dyDescent="0.2">
      <c r="A170" s="327">
        <f t="shared" si="32"/>
        <v>0</v>
      </c>
      <c r="B170">
        <f t="shared" si="40"/>
        <v>0</v>
      </c>
      <c r="C170">
        <f t="shared" si="39"/>
        <v>0</v>
      </c>
      <c r="D170">
        <f t="shared" si="41"/>
        <v>0</v>
      </c>
      <c r="E170" s="96">
        <f t="shared" si="42"/>
        <v>0</v>
      </c>
      <c r="F170" s="330" t="s">
        <v>704</v>
      </c>
      <c r="G170" s="331">
        <v>18</v>
      </c>
      <c r="H170" s="50" t="s">
        <v>1505</v>
      </c>
      <c r="I170" s="331">
        <v>17</v>
      </c>
      <c r="J170" s="50" t="s">
        <v>1466</v>
      </c>
      <c r="K170" s="339">
        <v>20</v>
      </c>
      <c r="L170" s="337">
        <f t="shared" si="43"/>
        <v>0.94444444444444442</v>
      </c>
    </row>
    <row r="171" spans="1:12" x14ac:dyDescent="0.2">
      <c r="A171" s="327">
        <f t="shared" si="32"/>
        <v>0</v>
      </c>
      <c r="B171">
        <f t="shared" si="40"/>
        <v>0</v>
      </c>
      <c r="C171">
        <f t="shared" si="39"/>
        <v>0</v>
      </c>
      <c r="D171">
        <f t="shared" si="41"/>
        <v>0</v>
      </c>
      <c r="E171" s="96">
        <f t="shared" si="42"/>
        <v>0</v>
      </c>
      <c r="F171" s="330" t="s">
        <v>704</v>
      </c>
      <c r="G171" s="331">
        <v>14</v>
      </c>
      <c r="H171" s="50" t="s">
        <v>1499</v>
      </c>
      <c r="I171" s="331">
        <v>14</v>
      </c>
      <c r="J171" s="50" t="s">
        <v>1499</v>
      </c>
      <c r="K171" s="339">
        <v>20</v>
      </c>
      <c r="L171" s="337">
        <f t="shared" si="43"/>
        <v>1</v>
      </c>
    </row>
    <row r="172" spans="1:12" x14ac:dyDescent="0.2">
      <c r="A172" s="327">
        <f t="shared" si="32"/>
        <v>0</v>
      </c>
      <c r="B172">
        <f t="shared" si="40"/>
        <v>0</v>
      </c>
      <c r="C172">
        <f t="shared" si="39"/>
        <v>0</v>
      </c>
      <c r="D172">
        <f t="shared" si="41"/>
        <v>0</v>
      </c>
      <c r="E172" s="96">
        <f t="shared" si="42"/>
        <v>0</v>
      </c>
      <c r="F172" s="330" t="s">
        <v>704</v>
      </c>
      <c r="G172" s="331">
        <v>18</v>
      </c>
      <c r="H172" s="50" t="s">
        <v>1505</v>
      </c>
      <c r="I172" s="331">
        <v>18</v>
      </c>
      <c r="J172" s="50" t="s">
        <v>1467</v>
      </c>
      <c r="K172" s="339">
        <v>20</v>
      </c>
      <c r="L172" s="337">
        <f t="shared" si="43"/>
        <v>1</v>
      </c>
    </row>
    <row r="173" spans="1:12" x14ac:dyDescent="0.2">
      <c r="A173" s="327">
        <f t="shared" si="32"/>
        <v>0</v>
      </c>
      <c r="B173">
        <f t="shared" si="40"/>
        <v>0</v>
      </c>
      <c r="C173">
        <f t="shared" si="39"/>
        <v>0</v>
      </c>
      <c r="D173">
        <f t="shared" si="41"/>
        <v>0</v>
      </c>
      <c r="E173" s="96">
        <f t="shared" si="42"/>
        <v>0</v>
      </c>
      <c r="F173" s="330" t="s">
        <v>704</v>
      </c>
      <c r="G173" s="331">
        <v>18</v>
      </c>
      <c r="H173" s="50" t="s">
        <v>1505</v>
      </c>
      <c r="I173" s="331">
        <v>19</v>
      </c>
      <c r="J173" s="50" t="s">
        <v>1468</v>
      </c>
      <c r="K173" s="339">
        <v>20</v>
      </c>
      <c r="L173" s="337">
        <f t="shared" si="43"/>
        <v>1.0555555555555556</v>
      </c>
    </row>
    <row r="174" spans="1:12" x14ac:dyDescent="0.2">
      <c r="A174" s="327">
        <f t="shared" si="32"/>
        <v>0</v>
      </c>
      <c r="B174">
        <f t="shared" si="40"/>
        <v>0</v>
      </c>
      <c r="C174">
        <f t="shared" si="39"/>
        <v>0</v>
      </c>
      <c r="D174">
        <f t="shared" si="41"/>
        <v>0</v>
      </c>
      <c r="E174" s="96">
        <f t="shared" si="42"/>
        <v>0</v>
      </c>
      <c r="F174" s="330" t="s">
        <v>704</v>
      </c>
      <c r="G174" s="331">
        <v>14</v>
      </c>
      <c r="H174" s="50" t="s">
        <v>1499</v>
      </c>
      <c r="I174" s="331">
        <v>15</v>
      </c>
      <c r="J174" s="50" t="s">
        <v>1464</v>
      </c>
      <c r="K174" s="339">
        <v>20</v>
      </c>
      <c r="L174" s="337">
        <f t="shared" si="43"/>
        <v>1.0714285714285714</v>
      </c>
    </row>
    <row r="175" spans="1:12" x14ac:dyDescent="0.2">
      <c r="A175" s="327">
        <f t="shared" si="32"/>
        <v>0</v>
      </c>
      <c r="B175">
        <f t="shared" si="40"/>
        <v>0</v>
      </c>
      <c r="C175">
        <f t="shared" si="39"/>
        <v>0</v>
      </c>
      <c r="D175">
        <f t="shared" si="41"/>
        <v>0</v>
      </c>
      <c r="E175" s="96">
        <f t="shared" si="42"/>
        <v>0</v>
      </c>
      <c r="F175" s="330" t="s">
        <v>704</v>
      </c>
      <c r="G175" s="331">
        <v>18</v>
      </c>
      <c r="H175" s="50" t="s">
        <v>1505</v>
      </c>
      <c r="I175" s="331">
        <v>20</v>
      </c>
      <c r="J175" s="50" t="s">
        <v>1469</v>
      </c>
      <c r="K175" s="339">
        <v>20</v>
      </c>
      <c r="L175" s="337">
        <f t="shared" si="43"/>
        <v>1.1111111111111112</v>
      </c>
    </row>
    <row r="176" spans="1:12" x14ac:dyDescent="0.2">
      <c r="A176" s="327">
        <f t="shared" si="32"/>
        <v>0</v>
      </c>
      <c r="B176">
        <f t="shared" si="40"/>
        <v>0</v>
      </c>
      <c r="C176">
        <f t="shared" si="39"/>
        <v>0</v>
      </c>
      <c r="D176">
        <f t="shared" si="41"/>
        <v>0</v>
      </c>
      <c r="E176" s="96">
        <f t="shared" si="42"/>
        <v>0</v>
      </c>
      <c r="F176" s="330" t="s">
        <v>704</v>
      </c>
      <c r="G176" s="331">
        <v>14</v>
      </c>
      <c r="H176" s="50" t="s">
        <v>1499</v>
      </c>
      <c r="I176" s="331">
        <v>16</v>
      </c>
      <c r="J176" s="50" t="s">
        <v>1465</v>
      </c>
      <c r="K176" s="339">
        <v>20</v>
      </c>
      <c r="L176" s="337">
        <f t="shared" si="43"/>
        <v>1.1428571428571428</v>
      </c>
    </row>
    <row r="177" spans="1:12" x14ac:dyDescent="0.2">
      <c r="A177" s="327">
        <f t="shared" si="32"/>
        <v>0</v>
      </c>
      <c r="B177">
        <f t="shared" si="40"/>
        <v>0</v>
      </c>
      <c r="C177">
        <f t="shared" si="39"/>
        <v>0</v>
      </c>
      <c r="D177">
        <f t="shared" si="41"/>
        <v>0</v>
      </c>
      <c r="E177" s="96">
        <f t="shared" si="42"/>
        <v>0</v>
      </c>
      <c r="F177" s="330" t="s">
        <v>704</v>
      </c>
      <c r="G177" s="331">
        <v>14</v>
      </c>
      <c r="H177" s="50" t="s">
        <v>1499</v>
      </c>
      <c r="I177" s="331">
        <v>17</v>
      </c>
      <c r="J177" s="50" t="s">
        <v>1466</v>
      </c>
      <c r="K177" s="339">
        <v>20</v>
      </c>
      <c r="L177" s="337">
        <f t="shared" si="43"/>
        <v>1.2142857142857142</v>
      </c>
    </row>
    <row r="178" spans="1:12" x14ac:dyDescent="0.2">
      <c r="A178" s="327">
        <f t="shared" si="32"/>
        <v>0</v>
      </c>
      <c r="B178">
        <f t="shared" si="40"/>
        <v>1</v>
      </c>
      <c r="C178">
        <f t="shared" si="39"/>
        <v>0</v>
      </c>
      <c r="D178">
        <f t="shared" si="41"/>
        <v>0</v>
      </c>
      <c r="E178" s="96">
        <f t="shared" si="42"/>
        <v>0</v>
      </c>
      <c r="F178" s="330" t="s">
        <v>704</v>
      </c>
      <c r="G178" s="331">
        <v>14</v>
      </c>
      <c r="H178" s="50" t="s">
        <v>1499</v>
      </c>
      <c r="I178" s="331">
        <v>18</v>
      </c>
      <c r="J178" s="50" t="s">
        <v>1467</v>
      </c>
      <c r="K178" s="339">
        <v>20</v>
      </c>
      <c r="L178" s="337">
        <f t="shared" si="43"/>
        <v>1.2857142857142858</v>
      </c>
    </row>
    <row r="179" spans="1:12" x14ac:dyDescent="0.2">
      <c r="A179" s="327">
        <f t="shared" si="32"/>
        <v>0</v>
      </c>
      <c r="B179">
        <f t="shared" si="40"/>
        <v>1</v>
      </c>
      <c r="C179">
        <f t="shared" si="39"/>
        <v>0</v>
      </c>
      <c r="D179">
        <f t="shared" si="41"/>
        <v>0</v>
      </c>
      <c r="E179" s="96">
        <f t="shared" si="42"/>
        <v>0</v>
      </c>
      <c r="F179" s="330" t="s">
        <v>704</v>
      </c>
      <c r="G179" s="331">
        <v>14</v>
      </c>
      <c r="H179" s="50" t="s">
        <v>1499</v>
      </c>
      <c r="I179" s="331">
        <v>19</v>
      </c>
      <c r="J179" s="50" t="s">
        <v>1468</v>
      </c>
      <c r="K179" s="339">
        <v>20</v>
      </c>
      <c r="L179" s="337">
        <f t="shared" si="43"/>
        <v>1.3571428571428572</v>
      </c>
    </row>
    <row r="180" spans="1:12" x14ac:dyDescent="0.2">
      <c r="A180" s="327">
        <f t="shared" si="32"/>
        <v>0</v>
      </c>
      <c r="B180">
        <f t="shared" si="40"/>
        <v>1</v>
      </c>
      <c r="C180">
        <f t="shared" si="39"/>
        <v>0</v>
      </c>
      <c r="D180">
        <f t="shared" si="41"/>
        <v>0</v>
      </c>
      <c r="E180" s="96">
        <f t="shared" si="42"/>
        <v>0</v>
      </c>
      <c r="F180" s="330" t="s">
        <v>704</v>
      </c>
      <c r="G180" s="331">
        <v>14</v>
      </c>
      <c r="H180" s="50" t="s">
        <v>1499</v>
      </c>
      <c r="I180" s="331">
        <v>20</v>
      </c>
      <c r="J180" s="50" t="s">
        <v>1469</v>
      </c>
      <c r="K180" s="339">
        <v>20</v>
      </c>
      <c r="L180" s="337">
        <f t="shared" si="43"/>
        <v>1.4285714285714286</v>
      </c>
    </row>
    <row r="181" spans="1:12" x14ac:dyDescent="0.2">
      <c r="A181" s="327">
        <f t="shared" si="32"/>
        <v>0</v>
      </c>
      <c r="B181">
        <f t="shared" si="40"/>
        <v>1</v>
      </c>
      <c r="C181">
        <f t="shared" si="39"/>
        <v>0</v>
      </c>
      <c r="D181">
        <f t="shared" si="41"/>
        <v>0</v>
      </c>
      <c r="E181" s="96">
        <f t="shared" si="42"/>
        <v>0</v>
      </c>
      <c r="F181" s="330" t="s">
        <v>704</v>
      </c>
      <c r="G181" s="331">
        <v>14</v>
      </c>
      <c r="H181" s="50" t="s">
        <v>1499</v>
      </c>
      <c r="I181" s="331">
        <v>21</v>
      </c>
      <c r="J181" s="50" t="s">
        <v>1470</v>
      </c>
      <c r="K181" s="339">
        <v>20</v>
      </c>
      <c r="L181" s="337">
        <f t="shared" si="43"/>
        <v>1.5</v>
      </c>
    </row>
    <row r="182" spans="1:12" x14ac:dyDescent="0.2">
      <c r="A182" s="327">
        <f t="shared" si="32"/>
        <v>0</v>
      </c>
      <c r="B182">
        <f t="shared" si="40"/>
        <v>1</v>
      </c>
      <c r="C182">
        <f t="shared" si="39"/>
        <v>0</v>
      </c>
      <c r="D182">
        <f t="shared" si="41"/>
        <v>0</v>
      </c>
      <c r="E182" s="96">
        <f t="shared" si="42"/>
        <v>0</v>
      </c>
      <c r="F182" s="330" t="s">
        <v>704</v>
      </c>
      <c r="G182" s="331">
        <v>14</v>
      </c>
      <c r="H182" s="50" t="s">
        <v>1499</v>
      </c>
      <c r="I182" s="331">
        <v>22</v>
      </c>
      <c r="J182" s="50" t="s">
        <v>1471</v>
      </c>
      <c r="K182" s="339">
        <v>20</v>
      </c>
      <c r="L182" s="337">
        <f t="shared" si="43"/>
        <v>1.5714285714285714</v>
      </c>
    </row>
    <row r="183" spans="1:12" x14ac:dyDescent="0.2">
      <c r="A183" s="327">
        <f t="shared" ref="A183:A214" si="44">IF(F183=quote59,1,0)</f>
        <v>0</v>
      </c>
      <c r="B183">
        <f t="shared" ref="B183:B214" si="45">IF(AND($L183&gt;=$A$8,$L183&lt;=$A$9),1,0)</f>
        <v>0</v>
      </c>
      <c r="C183">
        <f t="shared" si="39"/>
        <v>1</v>
      </c>
      <c r="D183">
        <f t="shared" ref="D183:D214" si="46">IF(AND(quote76=20,K183=20),1,0)</f>
        <v>0</v>
      </c>
      <c r="E183" s="96">
        <f t="shared" si="42"/>
        <v>0</v>
      </c>
      <c r="F183" s="330" t="s">
        <v>704</v>
      </c>
      <c r="G183" s="331">
        <v>22</v>
      </c>
      <c r="H183" s="50" t="s">
        <v>1506</v>
      </c>
      <c r="I183" s="331">
        <v>14</v>
      </c>
      <c r="J183" s="50" t="s">
        <v>1357</v>
      </c>
      <c r="K183" s="332">
        <f>7/8*25.4</f>
        <v>22.224999999999998</v>
      </c>
      <c r="L183" s="337">
        <f t="shared" ref="L183:L214" si="47">+I183/G183</f>
        <v>0.63636363636363635</v>
      </c>
    </row>
    <row r="184" spans="1:12" x14ac:dyDescent="0.2">
      <c r="A184" s="327">
        <f t="shared" si="44"/>
        <v>0</v>
      </c>
      <c r="B184">
        <f t="shared" si="45"/>
        <v>0</v>
      </c>
      <c r="C184">
        <f t="shared" si="39"/>
        <v>1</v>
      </c>
      <c r="D184">
        <f t="shared" si="46"/>
        <v>0</v>
      </c>
      <c r="E184" s="96">
        <f t="shared" si="42"/>
        <v>0</v>
      </c>
      <c r="F184" s="330" t="s">
        <v>704</v>
      </c>
      <c r="G184" s="331">
        <v>18</v>
      </c>
      <c r="H184" s="50" t="s">
        <v>1505</v>
      </c>
      <c r="I184" s="331">
        <v>12</v>
      </c>
      <c r="J184" s="50" t="s">
        <v>1355</v>
      </c>
      <c r="K184" s="332">
        <f>3/4*25.4</f>
        <v>19.049999999999997</v>
      </c>
      <c r="L184" s="337">
        <f t="shared" si="47"/>
        <v>0.66666666666666663</v>
      </c>
    </row>
    <row r="185" spans="1:12" x14ac:dyDescent="0.2">
      <c r="A185" s="327">
        <f t="shared" si="44"/>
        <v>0</v>
      </c>
      <c r="B185">
        <f t="shared" si="45"/>
        <v>0</v>
      </c>
      <c r="C185">
        <f t="shared" si="39"/>
        <v>1</v>
      </c>
      <c r="D185">
        <f t="shared" si="46"/>
        <v>0</v>
      </c>
      <c r="E185" s="96">
        <f t="shared" si="42"/>
        <v>0</v>
      </c>
      <c r="F185" s="330" t="s">
        <v>704</v>
      </c>
      <c r="G185" s="331">
        <v>22</v>
      </c>
      <c r="H185" s="50" t="s">
        <v>1506</v>
      </c>
      <c r="I185" s="331">
        <v>15</v>
      </c>
      <c r="J185" s="50" t="s">
        <v>1358</v>
      </c>
      <c r="K185" s="332">
        <f>7/8*25.4</f>
        <v>22.224999999999998</v>
      </c>
      <c r="L185" s="337">
        <f t="shared" si="47"/>
        <v>0.68181818181818177</v>
      </c>
    </row>
    <row r="186" spans="1:12" x14ac:dyDescent="0.2">
      <c r="A186" s="327">
        <f t="shared" si="44"/>
        <v>0</v>
      </c>
      <c r="B186">
        <f t="shared" si="45"/>
        <v>0</v>
      </c>
      <c r="C186">
        <f t="shared" si="39"/>
        <v>1</v>
      </c>
      <c r="D186">
        <f t="shared" si="46"/>
        <v>0</v>
      </c>
      <c r="E186" s="96">
        <f t="shared" si="42"/>
        <v>0</v>
      </c>
      <c r="F186" s="330" t="s">
        <v>704</v>
      </c>
      <c r="G186" s="331">
        <v>18</v>
      </c>
      <c r="H186" s="50" t="s">
        <v>1505</v>
      </c>
      <c r="I186" s="331">
        <v>13</v>
      </c>
      <c r="J186" s="50" t="s">
        <v>1356</v>
      </c>
      <c r="K186" s="332">
        <f>3/4*25.4</f>
        <v>19.049999999999997</v>
      </c>
      <c r="L186" s="337">
        <f t="shared" si="47"/>
        <v>0.72222222222222221</v>
      </c>
    </row>
    <row r="187" spans="1:12" x14ac:dyDescent="0.2">
      <c r="A187" s="327">
        <f t="shared" si="44"/>
        <v>0</v>
      </c>
      <c r="B187">
        <f t="shared" si="45"/>
        <v>0</v>
      </c>
      <c r="C187">
        <f t="shared" si="39"/>
        <v>1</v>
      </c>
      <c r="D187">
        <f t="shared" si="46"/>
        <v>0</v>
      </c>
      <c r="E187" s="96">
        <f t="shared" si="42"/>
        <v>0</v>
      </c>
      <c r="F187" s="330" t="s">
        <v>704</v>
      </c>
      <c r="G187" s="331">
        <v>22</v>
      </c>
      <c r="H187" s="50" t="s">
        <v>1506</v>
      </c>
      <c r="I187" s="331">
        <v>16</v>
      </c>
      <c r="J187" s="50" t="s">
        <v>1359</v>
      </c>
      <c r="K187" s="333">
        <f>15/16*25.4</f>
        <v>23.8125</v>
      </c>
      <c r="L187" s="337">
        <f t="shared" si="47"/>
        <v>0.72727272727272729</v>
      </c>
    </row>
    <row r="188" spans="1:12" x14ac:dyDescent="0.2">
      <c r="A188" s="327">
        <f t="shared" si="44"/>
        <v>0</v>
      </c>
      <c r="B188">
        <f t="shared" si="45"/>
        <v>0</v>
      </c>
      <c r="C188">
        <f t="shared" si="39"/>
        <v>1</v>
      </c>
      <c r="D188">
        <f t="shared" si="46"/>
        <v>0</v>
      </c>
      <c r="E188" s="96">
        <f t="shared" si="42"/>
        <v>0</v>
      </c>
      <c r="F188" s="330" t="s">
        <v>704</v>
      </c>
      <c r="G188" s="331">
        <v>22</v>
      </c>
      <c r="H188" s="50" t="s">
        <v>1506</v>
      </c>
      <c r="I188" s="331">
        <v>17</v>
      </c>
      <c r="J188" s="50" t="s">
        <v>1360</v>
      </c>
      <c r="K188" s="332">
        <f>1.0625*25.4</f>
        <v>26.987499999999997</v>
      </c>
      <c r="L188" s="337">
        <f t="shared" si="47"/>
        <v>0.77272727272727271</v>
      </c>
    </row>
    <row r="189" spans="1:12" x14ac:dyDescent="0.2">
      <c r="A189" s="327">
        <f t="shared" si="44"/>
        <v>0</v>
      </c>
      <c r="B189">
        <f t="shared" si="45"/>
        <v>0</v>
      </c>
      <c r="C189">
        <f t="shared" si="39"/>
        <v>1</v>
      </c>
      <c r="D189">
        <f t="shared" si="46"/>
        <v>0</v>
      </c>
      <c r="E189" s="96">
        <f t="shared" si="42"/>
        <v>0</v>
      </c>
      <c r="F189" s="330" t="s">
        <v>704</v>
      </c>
      <c r="G189" s="331">
        <v>18</v>
      </c>
      <c r="H189" s="50" t="s">
        <v>1505</v>
      </c>
      <c r="I189" s="331">
        <v>14</v>
      </c>
      <c r="J189" s="50" t="s">
        <v>1357</v>
      </c>
      <c r="K189" s="332">
        <f>7/8*25.4</f>
        <v>22.224999999999998</v>
      </c>
      <c r="L189" s="337">
        <f t="shared" si="47"/>
        <v>0.77777777777777779</v>
      </c>
    </row>
    <row r="190" spans="1:12" x14ac:dyDescent="0.2">
      <c r="A190" s="327">
        <f t="shared" si="44"/>
        <v>0</v>
      </c>
      <c r="B190">
        <f t="shared" si="45"/>
        <v>0</v>
      </c>
      <c r="C190">
        <f t="shared" si="39"/>
        <v>1</v>
      </c>
      <c r="D190">
        <f t="shared" si="46"/>
        <v>0</v>
      </c>
      <c r="E190" s="96">
        <f t="shared" si="42"/>
        <v>0</v>
      </c>
      <c r="F190" s="330" t="s">
        <v>704</v>
      </c>
      <c r="G190" s="331">
        <v>18</v>
      </c>
      <c r="H190" s="50" t="s">
        <v>1505</v>
      </c>
      <c r="I190" s="331">
        <v>15</v>
      </c>
      <c r="J190" s="50" t="s">
        <v>1358</v>
      </c>
      <c r="K190" s="332">
        <f>7/8*25.4</f>
        <v>22.224999999999998</v>
      </c>
      <c r="L190" s="337">
        <f t="shared" si="47"/>
        <v>0.83333333333333337</v>
      </c>
    </row>
    <row r="191" spans="1:12" x14ac:dyDescent="0.2">
      <c r="A191" s="327">
        <f t="shared" si="44"/>
        <v>0</v>
      </c>
      <c r="B191">
        <f t="shared" si="45"/>
        <v>0</v>
      </c>
      <c r="C191">
        <f t="shared" si="39"/>
        <v>1</v>
      </c>
      <c r="D191">
        <f t="shared" si="46"/>
        <v>0</v>
      </c>
      <c r="E191" s="96">
        <f t="shared" si="42"/>
        <v>0</v>
      </c>
      <c r="F191" s="330" t="s">
        <v>704</v>
      </c>
      <c r="G191" s="331">
        <v>14</v>
      </c>
      <c r="H191" s="50" t="s">
        <v>1499</v>
      </c>
      <c r="I191" s="331">
        <v>12</v>
      </c>
      <c r="J191" s="50" t="s">
        <v>1355</v>
      </c>
      <c r="K191" s="332">
        <f>3/4*25.4</f>
        <v>19.049999999999997</v>
      </c>
      <c r="L191" s="337">
        <f t="shared" si="47"/>
        <v>0.8571428571428571</v>
      </c>
    </row>
    <row r="192" spans="1:12" x14ac:dyDescent="0.2">
      <c r="A192" s="327">
        <f t="shared" si="44"/>
        <v>0</v>
      </c>
      <c r="B192">
        <f t="shared" si="45"/>
        <v>0</v>
      </c>
      <c r="C192">
        <f t="shared" si="39"/>
        <v>1</v>
      </c>
      <c r="D192">
        <f t="shared" si="46"/>
        <v>0</v>
      </c>
      <c r="E192" s="96">
        <f t="shared" si="42"/>
        <v>0</v>
      </c>
      <c r="F192" s="330" t="s">
        <v>704</v>
      </c>
      <c r="G192" s="331">
        <v>18</v>
      </c>
      <c r="H192" s="50" t="s">
        <v>1505</v>
      </c>
      <c r="I192" s="331">
        <v>16</v>
      </c>
      <c r="J192" s="50" t="s">
        <v>1359</v>
      </c>
      <c r="K192" s="333">
        <f>15/16*25.4</f>
        <v>23.8125</v>
      </c>
      <c r="L192" s="337">
        <f t="shared" si="47"/>
        <v>0.88888888888888884</v>
      </c>
    </row>
    <row r="193" spans="1:12" x14ac:dyDescent="0.2">
      <c r="A193" s="327">
        <f t="shared" si="44"/>
        <v>0</v>
      </c>
      <c r="B193">
        <f t="shared" si="45"/>
        <v>0</v>
      </c>
      <c r="C193">
        <f t="shared" si="39"/>
        <v>1</v>
      </c>
      <c r="D193">
        <f t="shared" si="46"/>
        <v>0</v>
      </c>
      <c r="E193" s="96">
        <f t="shared" si="42"/>
        <v>0</v>
      </c>
      <c r="F193" s="330" t="s">
        <v>704</v>
      </c>
      <c r="G193" s="331">
        <v>14</v>
      </c>
      <c r="H193" s="50" t="s">
        <v>1499</v>
      </c>
      <c r="I193" s="331">
        <v>13</v>
      </c>
      <c r="J193" s="50" t="s">
        <v>1356</v>
      </c>
      <c r="K193" s="332">
        <f>3/4*25.4</f>
        <v>19.049999999999997</v>
      </c>
      <c r="L193" s="337">
        <f t="shared" si="47"/>
        <v>0.9285714285714286</v>
      </c>
    </row>
    <row r="194" spans="1:12" x14ac:dyDescent="0.2">
      <c r="A194" s="327">
        <f t="shared" si="44"/>
        <v>0</v>
      </c>
      <c r="B194">
        <f t="shared" si="45"/>
        <v>0</v>
      </c>
      <c r="C194">
        <f t="shared" si="39"/>
        <v>1</v>
      </c>
      <c r="D194">
        <f t="shared" si="46"/>
        <v>0</v>
      </c>
      <c r="E194" s="96">
        <f t="shared" si="42"/>
        <v>0</v>
      </c>
      <c r="F194" s="330" t="s">
        <v>704</v>
      </c>
      <c r="G194" s="331">
        <v>18</v>
      </c>
      <c r="H194" s="50" t="s">
        <v>1505</v>
      </c>
      <c r="I194" s="331">
        <v>17</v>
      </c>
      <c r="J194" s="50" t="s">
        <v>1360</v>
      </c>
      <c r="K194" s="332">
        <f>1.0625*25.4</f>
        <v>26.987499999999997</v>
      </c>
      <c r="L194" s="337">
        <f t="shared" si="47"/>
        <v>0.94444444444444442</v>
      </c>
    </row>
    <row r="195" spans="1:12" x14ac:dyDescent="0.2">
      <c r="A195" s="327">
        <f t="shared" si="44"/>
        <v>0</v>
      </c>
      <c r="B195">
        <f t="shared" si="45"/>
        <v>0</v>
      </c>
      <c r="C195">
        <f t="shared" si="39"/>
        <v>1</v>
      </c>
      <c r="D195">
        <f t="shared" si="46"/>
        <v>0</v>
      </c>
      <c r="E195" s="96">
        <f t="shared" si="42"/>
        <v>0</v>
      </c>
      <c r="F195" s="330" t="s">
        <v>704</v>
      </c>
      <c r="G195" s="331">
        <v>14</v>
      </c>
      <c r="H195" s="50" t="s">
        <v>1499</v>
      </c>
      <c r="I195" s="331">
        <v>14</v>
      </c>
      <c r="J195" s="50" t="s">
        <v>1357</v>
      </c>
      <c r="K195" s="332">
        <f>7/8*25.4</f>
        <v>22.224999999999998</v>
      </c>
      <c r="L195" s="337">
        <f t="shared" si="47"/>
        <v>1</v>
      </c>
    </row>
    <row r="196" spans="1:12" x14ac:dyDescent="0.2">
      <c r="A196" s="327">
        <f t="shared" si="44"/>
        <v>0</v>
      </c>
      <c r="B196">
        <f t="shared" si="45"/>
        <v>0</v>
      </c>
      <c r="C196">
        <f t="shared" si="39"/>
        <v>1</v>
      </c>
      <c r="D196">
        <f t="shared" si="46"/>
        <v>0</v>
      </c>
      <c r="E196" s="96">
        <f t="shared" si="42"/>
        <v>0</v>
      </c>
      <c r="F196" s="330" t="s">
        <v>704</v>
      </c>
      <c r="G196" s="331">
        <v>18</v>
      </c>
      <c r="H196" s="50" t="s">
        <v>1505</v>
      </c>
      <c r="I196" s="331">
        <v>18</v>
      </c>
      <c r="J196" s="50" t="s">
        <v>1361</v>
      </c>
      <c r="K196" s="332">
        <f>1.1875*25.4</f>
        <v>30.162499999999998</v>
      </c>
      <c r="L196" s="337">
        <f t="shared" si="47"/>
        <v>1</v>
      </c>
    </row>
    <row r="197" spans="1:12" x14ac:dyDescent="0.2">
      <c r="A197" s="327">
        <f t="shared" si="44"/>
        <v>0</v>
      </c>
      <c r="B197">
        <f t="shared" si="45"/>
        <v>0</v>
      </c>
      <c r="C197">
        <f t="shared" si="39"/>
        <v>1</v>
      </c>
      <c r="D197">
        <f t="shared" si="46"/>
        <v>0</v>
      </c>
      <c r="E197" s="96">
        <f t="shared" si="42"/>
        <v>0</v>
      </c>
      <c r="F197" s="330" t="s">
        <v>704</v>
      </c>
      <c r="G197" s="331">
        <v>18</v>
      </c>
      <c r="H197" s="50" t="s">
        <v>1505</v>
      </c>
      <c r="I197" s="331">
        <v>19</v>
      </c>
      <c r="J197" s="50" t="s">
        <v>1362</v>
      </c>
      <c r="K197" s="328">
        <f>1.25*25.4</f>
        <v>31.75</v>
      </c>
      <c r="L197" s="337">
        <f t="shared" si="47"/>
        <v>1.0555555555555556</v>
      </c>
    </row>
    <row r="198" spans="1:12" x14ac:dyDescent="0.2">
      <c r="A198" s="327">
        <f t="shared" si="44"/>
        <v>0</v>
      </c>
      <c r="B198">
        <f t="shared" si="45"/>
        <v>0</v>
      </c>
      <c r="C198">
        <f t="shared" si="39"/>
        <v>1</v>
      </c>
      <c r="D198">
        <f t="shared" si="46"/>
        <v>0</v>
      </c>
      <c r="E198" s="96">
        <f t="shared" ref="E198:E229" si="48">IF(D198=1,MIN(A198:D198),MIN(A198:C198))</f>
        <v>0</v>
      </c>
      <c r="F198" s="330" t="s">
        <v>704</v>
      </c>
      <c r="G198" s="331">
        <v>14</v>
      </c>
      <c r="H198" s="50" t="s">
        <v>1499</v>
      </c>
      <c r="I198" s="331">
        <v>15</v>
      </c>
      <c r="J198" s="50" t="s">
        <v>1358</v>
      </c>
      <c r="K198" s="332">
        <f>7/8*25.4</f>
        <v>22.224999999999998</v>
      </c>
      <c r="L198" s="337">
        <f t="shared" si="47"/>
        <v>1.0714285714285714</v>
      </c>
    </row>
    <row r="199" spans="1:12" x14ac:dyDescent="0.2">
      <c r="A199" s="327">
        <f t="shared" si="44"/>
        <v>0</v>
      </c>
      <c r="B199">
        <f t="shared" si="45"/>
        <v>0</v>
      </c>
      <c r="C199">
        <f t="shared" si="39"/>
        <v>1</v>
      </c>
      <c r="D199">
        <f t="shared" si="46"/>
        <v>0</v>
      </c>
      <c r="E199" s="96">
        <f t="shared" si="48"/>
        <v>0</v>
      </c>
      <c r="F199" s="330" t="s">
        <v>704</v>
      </c>
      <c r="G199" s="331">
        <v>18</v>
      </c>
      <c r="H199" s="50" t="s">
        <v>1505</v>
      </c>
      <c r="I199" s="331">
        <v>20</v>
      </c>
      <c r="J199" s="50" t="s">
        <v>1363</v>
      </c>
      <c r="K199" s="328">
        <f>1.3125*25.4</f>
        <v>33.337499999999999</v>
      </c>
      <c r="L199" s="337">
        <f t="shared" si="47"/>
        <v>1.1111111111111112</v>
      </c>
    </row>
    <row r="200" spans="1:12" x14ac:dyDescent="0.2">
      <c r="A200" s="327">
        <f t="shared" si="44"/>
        <v>0</v>
      </c>
      <c r="B200">
        <f t="shared" si="45"/>
        <v>0</v>
      </c>
      <c r="C200">
        <f t="shared" si="39"/>
        <v>1</v>
      </c>
      <c r="D200">
        <f t="shared" si="46"/>
        <v>0</v>
      </c>
      <c r="E200" s="96">
        <f t="shared" si="48"/>
        <v>0</v>
      </c>
      <c r="F200" s="330" t="s">
        <v>704</v>
      </c>
      <c r="G200" s="331">
        <v>14</v>
      </c>
      <c r="H200" s="50" t="s">
        <v>1499</v>
      </c>
      <c r="I200" s="331">
        <v>16</v>
      </c>
      <c r="J200" s="50" t="s">
        <v>1359</v>
      </c>
      <c r="K200" s="333">
        <f>15/16*25.4</f>
        <v>23.8125</v>
      </c>
      <c r="L200" s="337">
        <f t="shared" si="47"/>
        <v>1.1428571428571428</v>
      </c>
    </row>
    <row r="201" spans="1:12" x14ac:dyDescent="0.2">
      <c r="A201" s="327">
        <f t="shared" si="44"/>
        <v>0</v>
      </c>
      <c r="B201">
        <f t="shared" si="45"/>
        <v>0</v>
      </c>
      <c r="C201">
        <f t="shared" si="39"/>
        <v>1</v>
      </c>
      <c r="D201">
        <f t="shared" si="46"/>
        <v>0</v>
      </c>
      <c r="E201" s="96">
        <f t="shared" si="48"/>
        <v>0</v>
      </c>
      <c r="F201" s="330" t="s">
        <v>704</v>
      </c>
      <c r="G201" s="331">
        <v>14</v>
      </c>
      <c r="H201" s="50" t="s">
        <v>1499</v>
      </c>
      <c r="I201" s="331">
        <v>17</v>
      </c>
      <c r="J201" s="50" t="s">
        <v>1360</v>
      </c>
      <c r="K201" s="332">
        <f>1.0625*25.4</f>
        <v>26.987499999999997</v>
      </c>
      <c r="L201" s="337">
        <f t="shared" si="47"/>
        <v>1.2142857142857142</v>
      </c>
    </row>
    <row r="202" spans="1:12" x14ac:dyDescent="0.2">
      <c r="A202" s="327">
        <f t="shared" si="44"/>
        <v>0</v>
      </c>
      <c r="B202">
        <f t="shared" si="45"/>
        <v>1</v>
      </c>
      <c r="C202">
        <f t="shared" si="39"/>
        <v>1</v>
      </c>
      <c r="D202">
        <f t="shared" si="46"/>
        <v>0</v>
      </c>
      <c r="E202" s="96">
        <f t="shared" si="48"/>
        <v>0</v>
      </c>
      <c r="F202" s="330" t="s">
        <v>704</v>
      </c>
      <c r="G202" s="331">
        <v>14</v>
      </c>
      <c r="H202" s="50" t="s">
        <v>1499</v>
      </c>
      <c r="I202" s="331">
        <v>18</v>
      </c>
      <c r="J202" s="50" t="s">
        <v>1361</v>
      </c>
      <c r="K202" s="332">
        <f>1.1875*25.4</f>
        <v>30.162499999999998</v>
      </c>
      <c r="L202" s="337">
        <f t="shared" si="47"/>
        <v>1.2857142857142858</v>
      </c>
    </row>
    <row r="203" spans="1:12" x14ac:dyDescent="0.2">
      <c r="A203" s="327">
        <f t="shared" si="44"/>
        <v>0</v>
      </c>
      <c r="B203">
        <f t="shared" si="45"/>
        <v>1</v>
      </c>
      <c r="C203">
        <f t="shared" si="39"/>
        <v>1</v>
      </c>
      <c r="D203">
        <f t="shared" si="46"/>
        <v>0</v>
      </c>
      <c r="E203" s="96">
        <f t="shared" si="48"/>
        <v>0</v>
      </c>
      <c r="F203" s="330" t="s">
        <v>704</v>
      </c>
      <c r="G203" s="331">
        <v>14</v>
      </c>
      <c r="H203" s="50" t="s">
        <v>1499</v>
      </c>
      <c r="I203" s="331">
        <v>19</v>
      </c>
      <c r="J203" s="50" t="s">
        <v>1362</v>
      </c>
      <c r="K203" s="328">
        <f>1.25*25.4</f>
        <v>31.75</v>
      </c>
      <c r="L203" s="337">
        <f t="shared" si="47"/>
        <v>1.3571428571428572</v>
      </c>
    </row>
    <row r="204" spans="1:12" x14ac:dyDescent="0.2">
      <c r="A204" s="327">
        <f t="shared" si="44"/>
        <v>0</v>
      </c>
      <c r="B204">
        <f t="shared" si="45"/>
        <v>1</v>
      </c>
      <c r="C204">
        <f t="shared" si="39"/>
        <v>1</v>
      </c>
      <c r="D204">
        <f t="shared" si="46"/>
        <v>0</v>
      </c>
      <c r="E204" s="96">
        <f t="shared" si="48"/>
        <v>0</v>
      </c>
      <c r="F204" s="330" t="s">
        <v>704</v>
      </c>
      <c r="G204" s="331">
        <v>14</v>
      </c>
      <c r="H204" s="50" t="s">
        <v>1499</v>
      </c>
      <c r="I204" s="331">
        <v>20</v>
      </c>
      <c r="J204" s="50" t="s">
        <v>1363</v>
      </c>
      <c r="K204" s="328">
        <f>1.3125*25.4</f>
        <v>33.337499999999999</v>
      </c>
      <c r="L204" s="337">
        <f t="shared" si="47"/>
        <v>1.4285714285714286</v>
      </c>
    </row>
    <row r="205" spans="1:12" x14ac:dyDescent="0.2">
      <c r="A205" s="327">
        <f t="shared" si="44"/>
        <v>0</v>
      </c>
      <c r="B205">
        <f t="shared" si="45"/>
        <v>1</v>
      </c>
      <c r="C205">
        <f t="shared" si="39"/>
        <v>1</v>
      </c>
      <c r="D205">
        <f t="shared" si="46"/>
        <v>0</v>
      </c>
      <c r="E205" s="96">
        <f t="shared" si="48"/>
        <v>0</v>
      </c>
      <c r="F205" s="330" t="s">
        <v>704</v>
      </c>
      <c r="G205" s="331">
        <v>14</v>
      </c>
      <c r="H205" s="50" t="s">
        <v>1499</v>
      </c>
      <c r="I205" s="331">
        <v>21</v>
      </c>
      <c r="J205" s="50" t="s">
        <v>1364</v>
      </c>
      <c r="K205" s="328">
        <f>1.25*25.4</f>
        <v>31.75</v>
      </c>
      <c r="L205" s="337">
        <f t="shared" si="47"/>
        <v>1.5</v>
      </c>
    </row>
    <row r="206" spans="1:12" x14ac:dyDescent="0.2">
      <c r="A206" s="327">
        <f t="shared" si="44"/>
        <v>0</v>
      </c>
      <c r="B206">
        <f t="shared" si="45"/>
        <v>1</v>
      </c>
      <c r="C206">
        <f t="shared" si="39"/>
        <v>1</v>
      </c>
      <c r="D206">
        <f t="shared" si="46"/>
        <v>0</v>
      </c>
      <c r="E206" s="96">
        <f t="shared" si="48"/>
        <v>0</v>
      </c>
      <c r="F206" s="330" t="s">
        <v>704</v>
      </c>
      <c r="G206" s="331">
        <v>14</v>
      </c>
      <c r="H206" s="50" t="s">
        <v>1499</v>
      </c>
      <c r="I206" s="331">
        <v>22</v>
      </c>
      <c r="J206" s="50" t="s">
        <v>1365</v>
      </c>
      <c r="K206" s="328">
        <f>1.375*25.4</f>
        <v>34.924999999999997</v>
      </c>
      <c r="L206" s="337">
        <f t="shared" si="47"/>
        <v>1.5714285714285714</v>
      </c>
    </row>
    <row r="207" spans="1:12" ht="13.5" thickBot="1" x14ac:dyDescent="0.25">
      <c r="A207" s="327">
        <f t="shared" si="44"/>
        <v>0</v>
      </c>
      <c r="B207">
        <f t="shared" si="45"/>
        <v>1</v>
      </c>
      <c r="C207">
        <f t="shared" si="39"/>
        <v>1</v>
      </c>
      <c r="D207" s="404">
        <f t="shared" si="46"/>
        <v>0</v>
      </c>
      <c r="E207" s="411">
        <f t="shared" si="48"/>
        <v>0</v>
      </c>
      <c r="F207" s="405" t="s">
        <v>704</v>
      </c>
      <c r="G207" s="406">
        <v>14</v>
      </c>
      <c r="H207" s="407" t="s">
        <v>1499</v>
      </c>
      <c r="I207" s="406">
        <v>23</v>
      </c>
      <c r="J207" s="407" t="s">
        <v>1366</v>
      </c>
      <c r="K207" s="408">
        <f>1.375*25.4</f>
        <v>34.924999999999997</v>
      </c>
      <c r="L207" s="409">
        <f t="shared" si="47"/>
        <v>1.6428571428571428</v>
      </c>
    </row>
    <row r="208" spans="1:12" ht="13.5" thickTop="1" x14ac:dyDescent="0.2">
      <c r="A208" s="327">
        <f t="shared" si="44"/>
        <v>0</v>
      </c>
      <c r="B208">
        <f t="shared" si="45"/>
        <v>0</v>
      </c>
      <c r="C208">
        <f t="shared" si="39"/>
        <v>1</v>
      </c>
      <c r="D208">
        <f t="shared" si="46"/>
        <v>0</v>
      </c>
      <c r="E208" s="224">
        <f t="shared" si="48"/>
        <v>0</v>
      </c>
      <c r="F208" s="400" t="s">
        <v>705</v>
      </c>
      <c r="G208" s="401">
        <v>22</v>
      </c>
      <c r="H208" s="318" t="s">
        <v>1506</v>
      </c>
      <c r="I208" s="401">
        <v>14</v>
      </c>
      <c r="J208" s="318" t="s">
        <v>1357</v>
      </c>
      <c r="K208" s="410">
        <f>7/8*25.4</f>
        <v>22.224999999999998</v>
      </c>
      <c r="L208" s="403">
        <f t="shared" si="47"/>
        <v>0.63636363636363635</v>
      </c>
    </row>
    <row r="209" spans="1:12" x14ac:dyDescent="0.2">
      <c r="A209" s="327">
        <f t="shared" si="44"/>
        <v>0</v>
      </c>
      <c r="B209">
        <f t="shared" si="45"/>
        <v>0</v>
      </c>
      <c r="C209">
        <f t="shared" si="39"/>
        <v>1</v>
      </c>
      <c r="D209">
        <f t="shared" si="46"/>
        <v>0</v>
      </c>
      <c r="E209" s="96">
        <f t="shared" si="48"/>
        <v>0</v>
      </c>
      <c r="F209" s="330" t="s">
        <v>705</v>
      </c>
      <c r="G209" s="331">
        <v>18</v>
      </c>
      <c r="H209" s="50" t="s">
        <v>1505</v>
      </c>
      <c r="I209" s="331">
        <v>12</v>
      </c>
      <c r="J209" s="50" t="s">
        <v>1355</v>
      </c>
      <c r="K209" s="332">
        <f>3/4*25.4</f>
        <v>19.049999999999997</v>
      </c>
      <c r="L209" s="337">
        <f t="shared" si="47"/>
        <v>0.66666666666666663</v>
      </c>
    </row>
    <row r="210" spans="1:12" x14ac:dyDescent="0.2">
      <c r="A210" s="327">
        <f t="shared" si="44"/>
        <v>0</v>
      </c>
      <c r="B210">
        <f t="shared" si="45"/>
        <v>0</v>
      </c>
      <c r="C210">
        <f t="shared" si="39"/>
        <v>1</v>
      </c>
      <c r="D210">
        <f t="shared" si="46"/>
        <v>0</v>
      </c>
      <c r="E210" s="96">
        <f t="shared" si="48"/>
        <v>0</v>
      </c>
      <c r="F210" s="330" t="s">
        <v>705</v>
      </c>
      <c r="G210" s="331">
        <v>22</v>
      </c>
      <c r="H210" s="50" t="s">
        <v>1506</v>
      </c>
      <c r="I210" s="331">
        <v>15</v>
      </c>
      <c r="J210" s="50" t="s">
        <v>1358</v>
      </c>
      <c r="K210" s="332">
        <f>7/8*25.4</f>
        <v>22.224999999999998</v>
      </c>
      <c r="L210" s="337">
        <f t="shared" si="47"/>
        <v>0.68181818181818177</v>
      </c>
    </row>
    <row r="211" spans="1:12" x14ac:dyDescent="0.2">
      <c r="A211" s="327">
        <f t="shared" si="44"/>
        <v>0</v>
      </c>
      <c r="B211">
        <f t="shared" si="45"/>
        <v>0</v>
      </c>
      <c r="C211">
        <f t="shared" si="39"/>
        <v>1</v>
      </c>
      <c r="D211">
        <f t="shared" si="46"/>
        <v>0</v>
      </c>
      <c r="E211" s="96">
        <f t="shared" si="48"/>
        <v>0</v>
      </c>
      <c r="F211" s="330" t="s">
        <v>705</v>
      </c>
      <c r="G211" s="331">
        <v>18</v>
      </c>
      <c r="H211" s="50" t="s">
        <v>1505</v>
      </c>
      <c r="I211" s="331">
        <v>13</v>
      </c>
      <c r="J211" s="50" t="s">
        <v>1356</v>
      </c>
      <c r="K211" s="332">
        <f>3/4*25.4</f>
        <v>19.049999999999997</v>
      </c>
      <c r="L211" s="337">
        <f t="shared" si="47"/>
        <v>0.72222222222222221</v>
      </c>
    </row>
    <row r="212" spans="1:12" x14ac:dyDescent="0.2">
      <c r="A212" s="327">
        <f t="shared" si="44"/>
        <v>0</v>
      </c>
      <c r="B212">
        <f t="shared" si="45"/>
        <v>0</v>
      </c>
      <c r="C212">
        <f t="shared" si="39"/>
        <v>1</v>
      </c>
      <c r="D212">
        <f t="shared" si="46"/>
        <v>0</v>
      </c>
      <c r="E212" s="96">
        <f t="shared" si="48"/>
        <v>0</v>
      </c>
      <c r="F212" s="330" t="s">
        <v>705</v>
      </c>
      <c r="G212" s="331">
        <v>22</v>
      </c>
      <c r="H212" s="50" t="s">
        <v>1506</v>
      </c>
      <c r="I212" s="331">
        <v>16</v>
      </c>
      <c r="J212" s="50" t="s">
        <v>1359</v>
      </c>
      <c r="K212" s="333">
        <f>15/16*25.4</f>
        <v>23.8125</v>
      </c>
      <c r="L212" s="337">
        <f t="shared" si="47"/>
        <v>0.72727272727272729</v>
      </c>
    </row>
    <row r="213" spans="1:12" x14ac:dyDescent="0.2">
      <c r="A213" s="327">
        <f t="shared" si="44"/>
        <v>0</v>
      </c>
      <c r="B213">
        <f t="shared" si="45"/>
        <v>0</v>
      </c>
      <c r="C213">
        <f t="shared" si="39"/>
        <v>1</v>
      </c>
      <c r="D213">
        <f t="shared" si="46"/>
        <v>0</v>
      </c>
      <c r="E213" s="96">
        <f t="shared" si="48"/>
        <v>0</v>
      </c>
      <c r="F213" s="330" t="s">
        <v>705</v>
      </c>
      <c r="G213" s="331">
        <v>22</v>
      </c>
      <c r="H213" s="50" t="s">
        <v>1506</v>
      </c>
      <c r="I213" s="331">
        <v>17</v>
      </c>
      <c r="J213" s="50" t="s">
        <v>1360</v>
      </c>
      <c r="K213" s="332">
        <f>1.0625*25.4</f>
        <v>26.987499999999997</v>
      </c>
      <c r="L213" s="337">
        <f t="shared" si="47"/>
        <v>0.77272727272727271</v>
      </c>
    </row>
    <row r="214" spans="1:12" x14ac:dyDescent="0.2">
      <c r="A214" s="327">
        <f t="shared" si="44"/>
        <v>0</v>
      </c>
      <c r="B214">
        <f t="shared" si="45"/>
        <v>0</v>
      </c>
      <c r="C214">
        <f t="shared" si="39"/>
        <v>1</v>
      </c>
      <c r="D214">
        <f t="shared" si="46"/>
        <v>0</v>
      </c>
      <c r="E214" s="96">
        <f t="shared" si="48"/>
        <v>0</v>
      </c>
      <c r="F214" s="330" t="s">
        <v>705</v>
      </c>
      <c r="G214" s="331">
        <v>18</v>
      </c>
      <c r="H214" s="50" t="s">
        <v>1505</v>
      </c>
      <c r="I214" s="331">
        <v>14</v>
      </c>
      <c r="J214" s="50" t="s">
        <v>1357</v>
      </c>
      <c r="K214" s="332">
        <f>7/8*25.4</f>
        <v>22.224999999999998</v>
      </c>
      <c r="L214" s="337">
        <f t="shared" si="47"/>
        <v>0.77777777777777779</v>
      </c>
    </row>
    <row r="215" spans="1:12" x14ac:dyDescent="0.2">
      <c r="A215" s="327">
        <f t="shared" ref="A215:A231" si="49">IF(F215=quote59,1,0)</f>
        <v>0</v>
      </c>
      <c r="B215">
        <f t="shared" ref="B215:B231" si="50">IF(AND($L215&gt;=$A$8,$L215&lt;=$A$9),1,0)</f>
        <v>0</v>
      </c>
      <c r="C215">
        <f t="shared" si="39"/>
        <v>1</v>
      </c>
      <c r="D215">
        <f t="shared" ref="D215:D231" si="51">IF(AND(quote76=20,K215=20),1,0)</f>
        <v>0</v>
      </c>
      <c r="E215" s="96">
        <f t="shared" si="48"/>
        <v>0</v>
      </c>
      <c r="F215" s="330" t="s">
        <v>705</v>
      </c>
      <c r="G215" s="331">
        <v>18</v>
      </c>
      <c r="H215" s="50" t="s">
        <v>1505</v>
      </c>
      <c r="I215" s="331">
        <v>15</v>
      </c>
      <c r="J215" s="50" t="s">
        <v>1358</v>
      </c>
      <c r="K215" s="332">
        <f>7/8*25.4</f>
        <v>22.224999999999998</v>
      </c>
      <c r="L215" s="337">
        <f t="shared" ref="L215:L231" si="52">+I215/G215</f>
        <v>0.83333333333333337</v>
      </c>
    </row>
    <row r="216" spans="1:12" x14ac:dyDescent="0.2">
      <c r="A216" s="327">
        <f t="shared" si="49"/>
        <v>0</v>
      </c>
      <c r="B216">
        <f t="shared" si="50"/>
        <v>0</v>
      </c>
      <c r="C216">
        <f t="shared" si="39"/>
        <v>1</v>
      </c>
      <c r="D216">
        <f t="shared" si="51"/>
        <v>0</v>
      </c>
      <c r="E216" s="96">
        <f t="shared" si="48"/>
        <v>0</v>
      </c>
      <c r="F216" s="330" t="s">
        <v>705</v>
      </c>
      <c r="G216" s="331">
        <v>14</v>
      </c>
      <c r="H216" s="50" t="s">
        <v>1499</v>
      </c>
      <c r="I216" s="331">
        <v>12</v>
      </c>
      <c r="J216" s="50" t="s">
        <v>1355</v>
      </c>
      <c r="K216" s="332">
        <f>3/4*25.4</f>
        <v>19.049999999999997</v>
      </c>
      <c r="L216" s="337">
        <f t="shared" si="52"/>
        <v>0.8571428571428571</v>
      </c>
    </row>
    <row r="217" spans="1:12" x14ac:dyDescent="0.2">
      <c r="A217" s="327">
        <f t="shared" si="49"/>
        <v>0</v>
      </c>
      <c r="B217">
        <f t="shared" si="50"/>
        <v>0</v>
      </c>
      <c r="C217">
        <f t="shared" si="39"/>
        <v>1</v>
      </c>
      <c r="D217">
        <f t="shared" si="51"/>
        <v>0</v>
      </c>
      <c r="E217" s="96">
        <f t="shared" si="48"/>
        <v>0</v>
      </c>
      <c r="F217" s="330" t="s">
        <v>705</v>
      </c>
      <c r="G217" s="331">
        <v>18</v>
      </c>
      <c r="H217" s="50" t="s">
        <v>1505</v>
      </c>
      <c r="I217" s="331">
        <v>16</v>
      </c>
      <c r="J217" s="50" t="s">
        <v>1359</v>
      </c>
      <c r="K217" s="333">
        <f>15/16*25.4</f>
        <v>23.8125</v>
      </c>
      <c r="L217" s="337">
        <f t="shared" si="52"/>
        <v>0.88888888888888884</v>
      </c>
    </row>
    <row r="218" spans="1:12" x14ac:dyDescent="0.2">
      <c r="A218" s="327">
        <f t="shared" si="49"/>
        <v>0</v>
      </c>
      <c r="B218">
        <f t="shared" si="50"/>
        <v>0</v>
      </c>
      <c r="C218">
        <f t="shared" si="39"/>
        <v>1</v>
      </c>
      <c r="D218">
        <f t="shared" si="51"/>
        <v>0</v>
      </c>
      <c r="E218" s="96">
        <f t="shared" si="48"/>
        <v>0</v>
      </c>
      <c r="F218" s="330" t="s">
        <v>705</v>
      </c>
      <c r="G218" s="331">
        <v>14</v>
      </c>
      <c r="H218" s="50" t="s">
        <v>1499</v>
      </c>
      <c r="I218" s="331">
        <v>13</v>
      </c>
      <c r="J218" s="50" t="s">
        <v>1356</v>
      </c>
      <c r="K218" s="332">
        <f>3/4*25.4</f>
        <v>19.049999999999997</v>
      </c>
      <c r="L218" s="337">
        <f t="shared" si="52"/>
        <v>0.9285714285714286</v>
      </c>
    </row>
    <row r="219" spans="1:12" x14ac:dyDescent="0.2">
      <c r="A219" s="327">
        <f t="shared" si="49"/>
        <v>0</v>
      </c>
      <c r="B219">
        <f t="shared" si="50"/>
        <v>0</v>
      </c>
      <c r="C219">
        <f t="shared" si="39"/>
        <v>1</v>
      </c>
      <c r="D219">
        <f t="shared" si="51"/>
        <v>0</v>
      </c>
      <c r="E219" s="96">
        <f t="shared" si="48"/>
        <v>0</v>
      </c>
      <c r="F219" s="330" t="s">
        <v>705</v>
      </c>
      <c r="G219" s="331">
        <v>18</v>
      </c>
      <c r="H219" s="50" t="s">
        <v>1505</v>
      </c>
      <c r="I219" s="331">
        <v>17</v>
      </c>
      <c r="J219" s="50" t="s">
        <v>1360</v>
      </c>
      <c r="K219" s="332">
        <f>1.0625*25.4</f>
        <v>26.987499999999997</v>
      </c>
      <c r="L219" s="337">
        <f t="shared" si="52"/>
        <v>0.94444444444444442</v>
      </c>
    </row>
    <row r="220" spans="1:12" x14ac:dyDescent="0.2">
      <c r="A220" s="327">
        <f t="shared" si="49"/>
        <v>0</v>
      </c>
      <c r="B220">
        <f t="shared" si="50"/>
        <v>0</v>
      </c>
      <c r="C220">
        <f t="shared" si="39"/>
        <v>1</v>
      </c>
      <c r="D220">
        <f t="shared" si="51"/>
        <v>0</v>
      </c>
      <c r="E220" s="96">
        <f t="shared" si="48"/>
        <v>0</v>
      </c>
      <c r="F220" s="330" t="s">
        <v>705</v>
      </c>
      <c r="G220" s="331">
        <v>14</v>
      </c>
      <c r="H220" s="50" t="s">
        <v>1499</v>
      </c>
      <c r="I220" s="331">
        <v>14</v>
      </c>
      <c r="J220" s="50" t="s">
        <v>1357</v>
      </c>
      <c r="K220" s="332">
        <f>7/8*25.4</f>
        <v>22.224999999999998</v>
      </c>
      <c r="L220" s="337">
        <f t="shared" si="52"/>
        <v>1</v>
      </c>
    </row>
    <row r="221" spans="1:12" x14ac:dyDescent="0.2">
      <c r="A221" s="327">
        <f t="shared" si="49"/>
        <v>0</v>
      </c>
      <c r="B221">
        <f t="shared" si="50"/>
        <v>0</v>
      </c>
      <c r="C221">
        <f t="shared" si="39"/>
        <v>1</v>
      </c>
      <c r="D221">
        <f t="shared" si="51"/>
        <v>0</v>
      </c>
      <c r="E221" s="96">
        <f t="shared" si="48"/>
        <v>0</v>
      </c>
      <c r="F221" s="330" t="s">
        <v>705</v>
      </c>
      <c r="G221" s="331">
        <v>18</v>
      </c>
      <c r="H221" s="50" t="s">
        <v>1505</v>
      </c>
      <c r="I221" s="331">
        <v>18</v>
      </c>
      <c r="J221" s="50" t="s">
        <v>1361</v>
      </c>
      <c r="K221" s="332">
        <f>1.1875*25.4</f>
        <v>30.162499999999998</v>
      </c>
      <c r="L221" s="337">
        <f t="shared" si="52"/>
        <v>1</v>
      </c>
    </row>
    <row r="222" spans="1:12" x14ac:dyDescent="0.2">
      <c r="A222" s="327">
        <f t="shared" si="49"/>
        <v>0</v>
      </c>
      <c r="B222">
        <f t="shared" si="50"/>
        <v>0</v>
      </c>
      <c r="C222">
        <f t="shared" si="39"/>
        <v>1</v>
      </c>
      <c r="D222">
        <f t="shared" si="51"/>
        <v>0</v>
      </c>
      <c r="E222" s="96">
        <f t="shared" si="48"/>
        <v>0</v>
      </c>
      <c r="F222" s="330" t="s">
        <v>705</v>
      </c>
      <c r="G222" s="331">
        <v>18</v>
      </c>
      <c r="H222" s="50" t="s">
        <v>1505</v>
      </c>
      <c r="I222" s="331">
        <v>19</v>
      </c>
      <c r="J222" s="50" t="s">
        <v>1362</v>
      </c>
      <c r="K222" s="328">
        <f>1.25*25.4</f>
        <v>31.75</v>
      </c>
      <c r="L222" s="337">
        <f t="shared" si="52"/>
        <v>1.0555555555555556</v>
      </c>
    </row>
    <row r="223" spans="1:12" x14ac:dyDescent="0.2">
      <c r="A223" s="327">
        <f t="shared" si="49"/>
        <v>0</v>
      </c>
      <c r="B223">
        <f t="shared" si="50"/>
        <v>0</v>
      </c>
      <c r="C223">
        <f t="shared" si="39"/>
        <v>1</v>
      </c>
      <c r="D223">
        <f t="shared" si="51"/>
        <v>0</v>
      </c>
      <c r="E223" s="96">
        <f t="shared" si="48"/>
        <v>0</v>
      </c>
      <c r="F223" s="330" t="s">
        <v>705</v>
      </c>
      <c r="G223" s="331">
        <v>14</v>
      </c>
      <c r="H223" s="50" t="s">
        <v>1499</v>
      </c>
      <c r="I223" s="331">
        <v>15</v>
      </c>
      <c r="J223" s="50" t="s">
        <v>1358</v>
      </c>
      <c r="K223" s="332">
        <f>7/8*25.4</f>
        <v>22.224999999999998</v>
      </c>
      <c r="L223" s="337">
        <f t="shared" si="52"/>
        <v>1.0714285714285714</v>
      </c>
    </row>
    <row r="224" spans="1:12" x14ac:dyDescent="0.2">
      <c r="A224" s="327">
        <f t="shared" si="49"/>
        <v>0</v>
      </c>
      <c r="B224">
        <f t="shared" si="50"/>
        <v>0</v>
      </c>
      <c r="C224">
        <f t="shared" ref="C224:C231" si="53">IF(D224=1,1,IF(AND($A$1&lt;=$K224,K224&lt;&gt;20),1,0))</f>
        <v>1</v>
      </c>
      <c r="D224">
        <f t="shared" si="51"/>
        <v>0</v>
      </c>
      <c r="E224" s="96">
        <f t="shared" si="48"/>
        <v>0</v>
      </c>
      <c r="F224" s="330" t="s">
        <v>705</v>
      </c>
      <c r="G224" s="331">
        <v>18</v>
      </c>
      <c r="H224" s="50" t="s">
        <v>1505</v>
      </c>
      <c r="I224" s="331">
        <v>20</v>
      </c>
      <c r="J224" s="50" t="s">
        <v>1363</v>
      </c>
      <c r="K224" s="328">
        <f>1.3125*25.4</f>
        <v>33.337499999999999</v>
      </c>
      <c r="L224" s="337">
        <f t="shared" si="52"/>
        <v>1.1111111111111112</v>
      </c>
    </row>
    <row r="225" spans="1:12" x14ac:dyDescent="0.2">
      <c r="A225" s="327">
        <f t="shared" si="49"/>
        <v>0</v>
      </c>
      <c r="B225">
        <f t="shared" si="50"/>
        <v>0</v>
      </c>
      <c r="C225">
        <f t="shared" si="53"/>
        <v>1</v>
      </c>
      <c r="D225">
        <f t="shared" si="51"/>
        <v>0</v>
      </c>
      <c r="E225" s="96">
        <f t="shared" si="48"/>
        <v>0</v>
      </c>
      <c r="F225" s="330" t="s">
        <v>705</v>
      </c>
      <c r="G225" s="331">
        <v>14</v>
      </c>
      <c r="H225" s="50" t="s">
        <v>1499</v>
      </c>
      <c r="I225" s="331">
        <v>16</v>
      </c>
      <c r="J225" s="50" t="s">
        <v>1359</v>
      </c>
      <c r="K225" s="333">
        <f>15/16*25.4</f>
        <v>23.8125</v>
      </c>
      <c r="L225" s="337">
        <f t="shared" si="52"/>
        <v>1.1428571428571428</v>
      </c>
    </row>
    <row r="226" spans="1:12" x14ac:dyDescent="0.2">
      <c r="A226" s="327">
        <f t="shared" si="49"/>
        <v>0</v>
      </c>
      <c r="B226">
        <f t="shared" si="50"/>
        <v>0</v>
      </c>
      <c r="C226">
        <f t="shared" si="53"/>
        <v>1</v>
      </c>
      <c r="D226">
        <f t="shared" si="51"/>
        <v>0</v>
      </c>
      <c r="E226" s="96">
        <f t="shared" si="48"/>
        <v>0</v>
      </c>
      <c r="F226" s="330" t="s">
        <v>705</v>
      </c>
      <c r="G226" s="331">
        <v>14</v>
      </c>
      <c r="H226" s="50" t="s">
        <v>1499</v>
      </c>
      <c r="I226" s="331">
        <v>17</v>
      </c>
      <c r="J226" s="50" t="s">
        <v>1360</v>
      </c>
      <c r="K226" s="332">
        <f>1.0625*25.4</f>
        <v>26.987499999999997</v>
      </c>
      <c r="L226" s="337">
        <f t="shared" si="52"/>
        <v>1.2142857142857142</v>
      </c>
    </row>
    <row r="227" spans="1:12" x14ac:dyDescent="0.2">
      <c r="A227" s="327">
        <f t="shared" si="49"/>
        <v>0</v>
      </c>
      <c r="B227">
        <f t="shared" si="50"/>
        <v>1</v>
      </c>
      <c r="C227">
        <f t="shared" si="53"/>
        <v>1</v>
      </c>
      <c r="D227">
        <f t="shared" si="51"/>
        <v>0</v>
      </c>
      <c r="E227" s="96">
        <f t="shared" si="48"/>
        <v>0</v>
      </c>
      <c r="F227" s="330" t="s">
        <v>705</v>
      </c>
      <c r="G227" s="331">
        <v>14</v>
      </c>
      <c r="H227" s="50" t="s">
        <v>1499</v>
      </c>
      <c r="I227" s="331">
        <v>18</v>
      </c>
      <c r="J227" s="50" t="s">
        <v>1361</v>
      </c>
      <c r="K227" s="332">
        <f>1.1875*25.4</f>
        <v>30.162499999999998</v>
      </c>
      <c r="L227" s="337">
        <f t="shared" si="52"/>
        <v>1.2857142857142858</v>
      </c>
    </row>
    <row r="228" spans="1:12" x14ac:dyDescent="0.2">
      <c r="A228" s="327">
        <f t="shared" si="49"/>
        <v>0</v>
      </c>
      <c r="B228">
        <f t="shared" si="50"/>
        <v>1</v>
      </c>
      <c r="C228">
        <f t="shared" si="53"/>
        <v>1</v>
      </c>
      <c r="D228">
        <f t="shared" si="51"/>
        <v>0</v>
      </c>
      <c r="E228" s="96">
        <f t="shared" si="48"/>
        <v>0</v>
      </c>
      <c r="F228" s="330" t="s">
        <v>705</v>
      </c>
      <c r="G228" s="331">
        <v>14</v>
      </c>
      <c r="H228" s="50" t="s">
        <v>1499</v>
      </c>
      <c r="I228" s="331">
        <v>19</v>
      </c>
      <c r="J228" s="50" t="s">
        <v>1362</v>
      </c>
      <c r="K228" s="328">
        <f>1.25*25.4</f>
        <v>31.75</v>
      </c>
      <c r="L228" s="337">
        <f t="shared" si="52"/>
        <v>1.3571428571428572</v>
      </c>
    </row>
    <row r="229" spans="1:12" x14ac:dyDescent="0.2">
      <c r="A229" s="327">
        <f t="shared" si="49"/>
        <v>0</v>
      </c>
      <c r="B229">
        <f t="shared" si="50"/>
        <v>1</v>
      </c>
      <c r="C229">
        <f t="shared" si="53"/>
        <v>1</v>
      </c>
      <c r="D229">
        <f t="shared" si="51"/>
        <v>0</v>
      </c>
      <c r="E229" s="96">
        <f t="shared" si="48"/>
        <v>0</v>
      </c>
      <c r="F229" s="330" t="s">
        <v>705</v>
      </c>
      <c r="G229" s="331">
        <v>14</v>
      </c>
      <c r="H229" s="50" t="s">
        <v>1499</v>
      </c>
      <c r="I229" s="331">
        <v>20</v>
      </c>
      <c r="J229" s="50" t="s">
        <v>1363</v>
      </c>
      <c r="K229" s="328">
        <f>1.3125*25.4</f>
        <v>33.337499999999999</v>
      </c>
      <c r="L229" s="337">
        <f t="shared" si="52"/>
        <v>1.4285714285714286</v>
      </c>
    </row>
    <row r="230" spans="1:12" x14ac:dyDescent="0.2">
      <c r="A230" s="327">
        <f t="shared" si="49"/>
        <v>0</v>
      </c>
      <c r="B230">
        <f t="shared" si="50"/>
        <v>1</v>
      </c>
      <c r="C230">
        <f t="shared" si="53"/>
        <v>1</v>
      </c>
      <c r="D230">
        <f t="shared" si="51"/>
        <v>0</v>
      </c>
      <c r="E230" s="96">
        <f>IF(D230=1,MIN(A230:D230),MIN(A230:C230))</f>
        <v>0</v>
      </c>
      <c r="F230" s="330" t="s">
        <v>705</v>
      </c>
      <c r="G230" s="331">
        <v>14</v>
      </c>
      <c r="H230" s="50" t="s">
        <v>1499</v>
      </c>
      <c r="I230" s="331">
        <v>21</v>
      </c>
      <c r="J230" s="50" t="s">
        <v>1364</v>
      </c>
      <c r="K230" s="328">
        <f>1.25*25.4</f>
        <v>31.75</v>
      </c>
      <c r="L230" s="337">
        <f t="shared" si="52"/>
        <v>1.5</v>
      </c>
    </row>
    <row r="231" spans="1:12" x14ac:dyDescent="0.2">
      <c r="A231" s="327">
        <f t="shared" si="49"/>
        <v>0</v>
      </c>
      <c r="B231">
        <f t="shared" si="50"/>
        <v>1</v>
      </c>
      <c r="C231">
        <f t="shared" si="53"/>
        <v>1</v>
      </c>
      <c r="D231">
        <f t="shared" si="51"/>
        <v>0</v>
      </c>
      <c r="E231" s="96">
        <f>IF(D231=1,MIN(A231:D231),MIN(A231:C231))</f>
        <v>0</v>
      </c>
      <c r="F231" s="330" t="s">
        <v>705</v>
      </c>
      <c r="G231" s="331">
        <v>14</v>
      </c>
      <c r="H231" s="50" t="s">
        <v>1499</v>
      </c>
      <c r="I231" s="331">
        <v>22</v>
      </c>
      <c r="J231" s="50" t="s">
        <v>1365</v>
      </c>
      <c r="K231" s="328">
        <f>1.375*25.4</f>
        <v>34.924999999999997</v>
      </c>
      <c r="L231" s="337">
        <f t="shared" si="52"/>
        <v>1.5714285714285714</v>
      </c>
    </row>
  </sheetData>
  <mergeCells count="10">
    <mergeCell ref="C15:D15"/>
    <mergeCell ref="C9:E9"/>
    <mergeCell ref="C1:E1"/>
    <mergeCell ref="C11:E11"/>
    <mergeCell ref="C8:E8"/>
    <mergeCell ref="C6:E6"/>
    <mergeCell ref="C5:E5"/>
    <mergeCell ref="C4:E4"/>
    <mergeCell ref="C3:E3"/>
    <mergeCell ref="C2:E2"/>
  </mergeCells>
  <phoneticPr fontId="7" type="noConversion"/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45">
    <tabColor rgb="FF00B050"/>
    <pageSetUpPr fitToPage="1"/>
  </sheetPr>
  <dimension ref="A3:L14"/>
  <sheetViews>
    <sheetView showRowColHeaders="0" zoomScale="115" zoomScaleNormal="115" workbookViewId="0">
      <selection activeCell="O48" sqref="O48"/>
    </sheetView>
  </sheetViews>
  <sheetFormatPr defaultColWidth="8.85546875" defaultRowHeight="12.75" x14ac:dyDescent="0.2"/>
  <cols>
    <col min="1" max="1" width="4.28515625" style="146" customWidth="1"/>
    <col min="2" max="2" width="12.7109375" style="146" bestFit="1" customWidth="1"/>
    <col min="3" max="3" width="15.7109375" style="146" bestFit="1" customWidth="1"/>
    <col min="4" max="4" width="6.42578125" style="146" bestFit="1" customWidth="1"/>
    <col min="5" max="5" width="13.28515625" style="146" bestFit="1" customWidth="1"/>
    <col min="6" max="6" width="8.42578125" style="146" bestFit="1" customWidth="1"/>
    <col min="7" max="7" width="5.140625" style="146" bestFit="1" customWidth="1"/>
    <col min="8" max="8" width="7.5703125" style="146" customWidth="1"/>
    <col min="9" max="9" width="6" style="146" bestFit="1" customWidth="1"/>
    <col min="10" max="10" width="7.28515625" style="146" bestFit="1" customWidth="1"/>
    <col min="11" max="11" width="15.28515625" style="146" customWidth="1"/>
    <col min="12" max="12" width="10.28515625" style="146" customWidth="1"/>
    <col min="13" max="16384" width="8.85546875" style="146"/>
  </cols>
  <sheetData>
    <row r="3" spans="1:12" ht="30" customHeight="1" x14ac:dyDescent="0.4">
      <c r="B3" s="981" t="s">
        <v>2318</v>
      </c>
      <c r="C3" s="981"/>
      <c r="D3" s="981"/>
      <c r="E3" s="981"/>
      <c r="F3" s="148"/>
      <c r="G3" s="148"/>
      <c r="H3" s="148"/>
      <c r="I3" s="149"/>
      <c r="J3" s="150"/>
      <c r="K3" s="149"/>
      <c r="L3" s="149"/>
    </row>
    <row r="5" spans="1:12" s="151" customFormat="1" ht="7.5" customHeight="1" x14ac:dyDescent="0.2"/>
    <row r="6" spans="1:12" s="152" customFormat="1" ht="7.5" customHeight="1" x14ac:dyDescent="0.2"/>
    <row r="7" spans="1:12" x14ac:dyDescent="0.2">
      <c r="A7" s="156"/>
    </row>
    <row r="8" spans="1:12" ht="15" x14ac:dyDescent="0.2">
      <c r="A8" s="156"/>
      <c r="B8" s="982" t="str">
        <f>IF(P1Q1="Head",+"GUF-P 2000/"&amp;P0Q2&amp;"/"&amp;p0q1&amp;"-"&amp;P2Q1&amp;"-01",+"GUF-P 2000/"&amp;P0Q2&amp;"/"&amp;p0q1&amp;"-"&amp;P3Q1&amp;"-01-01")</f>
        <v>GUF-P 2000/800/3352.8-AC-01</v>
      </c>
      <c r="C8" s="983"/>
      <c r="D8" s="984"/>
      <c r="E8" s="468"/>
      <c r="F8" s="468"/>
      <c r="G8" s="468"/>
      <c r="H8" s="468"/>
      <c r="I8" s="468"/>
      <c r="J8" s="162"/>
      <c r="K8" s="163"/>
      <c r="L8" s="163"/>
    </row>
    <row r="9" spans="1:12" x14ac:dyDescent="0.2">
      <c r="A9" s="156"/>
      <c r="B9" s="162"/>
      <c r="C9" s="162"/>
      <c r="D9" s="162"/>
      <c r="E9" s="162"/>
      <c r="F9" s="162"/>
      <c r="G9" s="162"/>
      <c r="J9" s="162"/>
      <c r="K9" s="162"/>
      <c r="L9" s="162"/>
    </row>
    <row r="10" spans="1:12" ht="15" x14ac:dyDescent="0.25">
      <c r="A10" s="156"/>
      <c r="B10" s="1056" t="str">
        <f>+"Belt Type: "&amp;+P6Q10</f>
        <v>Belt Type: 460445</v>
      </c>
      <c r="C10" s="1056"/>
      <c r="D10" s="1056"/>
      <c r="E10" s="1056"/>
      <c r="F10" s="162"/>
      <c r="G10" s="162"/>
      <c r="J10" s="162"/>
      <c r="K10" s="162"/>
      <c r="L10" s="162"/>
    </row>
    <row r="11" spans="1:12" ht="15" x14ac:dyDescent="0.25">
      <c r="A11" s="156"/>
      <c r="B11" s="1056" t="str">
        <f>+quote67</f>
        <v>This is a "Yushin Blue", Urethane belt.</v>
      </c>
      <c r="C11" s="1056"/>
      <c r="D11" s="1056"/>
      <c r="E11" s="1056"/>
      <c r="F11" s="162"/>
      <c r="G11" s="162"/>
      <c r="J11" s="162"/>
      <c r="K11" s="162"/>
      <c r="L11" s="162"/>
    </row>
    <row r="13" spans="1:12" ht="15" x14ac:dyDescent="0.25">
      <c r="B13" s="1056" t="str">
        <f>+quote69</f>
        <v xml:space="preserve">785 mm wide x 6766 mm OAL </v>
      </c>
      <c r="C13" s="1056"/>
      <c r="D13" s="1056"/>
      <c r="E13" s="1056"/>
    </row>
    <row r="14" spans="1:12" ht="15" x14ac:dyDescent="0.25">
      <c r="B14" s="759">
        <f>+Pricing!O380</f>
        <v>947.57885795771585</v>
      </c>
    </row>
  </sheetData>
  <sheetProtection algorithmName="SHA-512" hashValue="psOVQcVDFblm2rQYGtD/4UiDLZ2/tuPoRWzqH3DDjZ0jqrIWE9X1ttuvZ2LkulUjnvydKFIlPFZM49Qc20CmGg==" saltValue="U7R0NHN26qabi2zmNneL4g==" spinCount="100000" sheet="1" objects="1" scenarios="1"/>
  <mergeCells count="5">
    <mergeCell ref="B10:E10"/>
    <mergeCell ref="B11:E11"/>
    <mergeCell ref="B13:E13"/>
    <mergeCell ref="B3:E3"/>
    <mergeCell ref="B8:D8"/>
  </mergeCells>
  <pageMargins left="0.5" right="0.5" top="0.5" bottom="0.69" header="0" footer="0.43"/>
  <pageSetup scale="86" orientation="portrait" r:id="rId1"/>
  <headerFooter alignWithMargins="0">
    <oddFooter>&amp;L&amp;8&amp;F&amp;R&amp;D &amp;T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">
    <tabColor rgb="FFFF0000"/>
    <pageSetUpPr fitToPage="1"/>
  </sheetPr>
  <dimension ref="A3:C34"/>
  <sheetViews>
    <sheetView workbookViewId="0">
      <selection activeCell="C42" sqref="C42"/>
    </sheetView>
  </sheetViews>
  <sheetFormatPr defaultRowHeight="12.75" x14ac:dyDescent="0.2"/>
  <cols>
    <col min="2" max="2" width="9.140625" style="806"/>
    <col min="3" max="3" width="13.5703125" bestFit="1" customWidth="1"/>
  </cols>
  <sheetData>
    <row r="3" spans="1:3" x14ac:dyDescent="0.2">
      <c r="A3" t="s">
        <v>2308</v>
      </c>
      <c r="C3" t="s">
        <v>2309</v>
      </c>
    </row>
    <row r="5" spans="1:3" x14ac:dyDescent="0.2">
      <c r="A5" s="253" t="s">
        <v>2312</v>
      </c>
      <c r="B5" s="807"/>
      <c r="C5" s="253" t="s">
        <v>2313</v>
      </c>
    </row>
    <row r="6" spans="1:3" x14ac:dyDescent="0.2">
      <c r="C6" s="253" t="s">
        <v>2314</v>
      </c>
    </row>
    <row r="7" spans="1:3" x14ac:dyDescent="0.2">
      <c r="C7" s="253" t="s">
        <v>2315</v>
      </c>
    </row>
    <row r="8" spans="1:3" x14ac:dyDescent="0.2">
      <c r="C8" s="253" t="s">
        <v>2316</v>
      </c>
    </row>
    <row r="9" spans="1:3" x14ac:dyDescent="0.2">
      <c r="C9" s="253" t="s">
        <v>2317</v>
      </c>
    </row>
    <row r="11" spans="1:3" x14ac:dyDescent="0.2">
      <c r="A11" t="s">
        <v>2319</v>
      </c>
      <c r="C11" t="s">
        <v>2320</v>
      </c>
    </row>
    <row r="13" spans="1:3" x14ac:dyDescent="0.2">
      <c r="A13" s="253" t="s">
        <v>2326</v>
      </c>
      <c r="B13" s="807"/>
      <c r="C13" s="253" t="s">
        <v>2327</v>
      </c>
    </row>
    <row r="14" spans="1:3" x14ac:dyDescent="0.2">
      <c r="C14" s="253" t="s">
        <v>2329</v>
      </c>
    </row>
    <row r="15" spans="1:3" x14ac:dyDescent="0.2">
      <c r="C15" s="253" t="s">
        <v>2330</v>
      </c>
    </row>
    <row r="17" spans="1:3" x14ac:dyDescent="0.2">
      <c r="A17" s="253" t="s">
        <v>2332</v>
      </c>
      <c r="B17" s="807"/>
      <c r="C17" s="253" t="s">
        <v>2334</v>
      </c>
    </row>
    <row r="19" spans="1:3" x14ac:dyDescent="0.2">
      <c r="A19" s="253" t="s">
        <v>2335</v>
      </c>
      <c r="B19" s="807"/>
      <c r="C19" s="253" t="s">
        <v>2336</v>
      </c>
    </row>
    <row r="21" spans="1:3" x14ac:dyDescent="0.2">
      <c r="A21" s="253" t="s">
        <v>2337</v>
      </c>
      <c r="B21" s="807"/>
      <c r="C21" s="253" t="s">
        <v>2338</v>
      </c>
    </row>
    <row r="22" spans="1:3" x14ac:dyDescent="0.2">
      <c r="C22" s="253" t="s">
        <v>2339</v>
      </c>
    </row>
    <row r="24" spans="1:3" x14ac:dyDescent="0.2">
      <c r="A24" t="s">
        <v>2340</v>
      </c>
      <c r="C24" t="s">
        <v>2341</v>
      </c>
    </row>
    <row r="26" spans="1:3" x14ac:dyDescent="0.2">
      <c r="A26" t="s">
        <v>2342</v>
      </c>
      <c r="B26" s="806">
        <v>43944</v>
      </c>
      <c r="C26" t="s">
        <v>2343</v>
      </c>
    </row>
    <row r="27" spans="1:3" x14ac:dyDescent="0.2">
      <c r="C27" s="253" t="s">
        <v>2383</v>
      </c>
    </row>
    <row r="29" spans="1:3" x14ac:dyDescent="0.2">
      <c r="A29" t="s">
        <v>2396</v>
      </c>
      <c r="B29" s="806">
        <v>43976</v>
      </c>
      <c r="C29" t="s">
        <v>2397</v>
      </c>
    </row>
    <row r="30" spans="1:3" x14ac:dyDescent="0.2">
      <c r="C30" t="s">
        <v>2398</v>
      </c>
    </row>
    <row r="32" spans="1:3" x14ac:dyDescent="0.2">
      <c r="A32" t="s">
        <v>2399</v>
      </c>
      <c r="B32" s="806">
        <v>44558</v>
      </c>
      <c r="C32" t="s">
        <v>2400</v>
      </c>
    </row>
    <row r="34" spans="1:3" x14ac:dyDescent="0.2">
      <c r="A34" t="s">
        <v>2403</v>
      </c>
      <c r="B34" s="806">
        <v>44658</v>
      </c>
      <c r="C34" t="s">
        <v>2400</v>
      </c>
    </row>
  </sheetData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6EB9B3046762D4F8028541F8229C690" ma:contentTypeVersion="16" ma:contentTypeDescription="Create a new document." ma:contentTypeScope="" ma:versionID="b3a8572ab6dcb3b9ea49ddfde555c82a">
  <xsd:schema xmlns:xsd="http://www.w3.org/2001/XMLSchema" xmlns:xs="http://www.w3.org/2001/XMLSchema" xmlns:p="http://schemas.microsoft.com/office/2006/metadata/properties" xmlns:ns3="7bf9b039-f42f-4cab-9e04-998ae84eb41b" xmlns:ns4="7403a7dd-8c9c-4378-b466-7ac29c1da6ca" targetNamespace="http://schemas.microsoft.com/office/2006/metadata/properties" ma:root="true" ma:fieldsID="e382311c8ce827e9d0eef67c8191f2a6" ns3:_="" ns4:_="">
    <xsd:import namespace="7bf9b039-f42f-4cab-9e04-998ae84eb41b"/>
    <xsd:import namespace="7403a7dd-8c9c-4378-b466-7ac29c1da6c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ObjectDetectorVersion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f9b039-f42f-4cab-9e04-998ae84eb4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03a7dd-8c9c-4378-b466-7ac29c1da6c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bf9b039-f42f-4cab-9e04-998ae84eb41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B038A77-201B-48F2-A5CE-2D95FF1F77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bf9b039-f42f-4cab-9e04-998ae84eb41b"/>
    <ds:schemaRef ds:uri="7403a7dd-8c9c-4378-b466-7ac29c1da6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FF6B1A3-D1A8-40F7-B1DA-0DF1F1105F45}">
  <ds:schemaRefs>
    <ds:schemaRef ds:uri="http://purl.org/dc/dcmitype/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7403a7dd-8c9c-4378-b466-7ac29c1da6ca"/>
    <ds:schemaRef ds:uri="7bf9b039-f42f-4cab-9e04-998ae84eb41b"/>
    <ds:schemaRef ds:uri="http://purl.org/dc/terms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A75FA3D-87CF-47BE-B611-BA25F58D773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222</vt:i4>
      </vt:variant>
    </vt:vector>
  </HeadingPairs>
  <TitlesOfParts>
    <vt:vector size="251" baseType="lpstr">
      <vt:lpstr>Conveyors</vt:lpstr>
      <vt:lpstr>Specification</vt:lpstr>
      <vt:lpstr>Drive Type</vt:lpstr>
      <vt:lpstr>Drive Version</vt:lpstr>
      <vt:lpstr>Belt</vt:lpstr>
      <vt:lpstr>Fixed Rail</vt:lpstr>
      <vt:lpstr>Adjustable Rail</vt:lpstr>
      <vt:lpstr>Stand</vt:lpstr>
      <vt:lpstr>Controls</vt:lpstr>
      <vt:lpstr>Customer</vt:lpstr>
      <vt:lpstr>Proposal</vt:lpstr>
      <vt:lpstr>Help</vt:lpstr>
      <vt:lpstr>Parts List</vt:lpstr>
      <vt:lpstr>Parts </vt:lpstr>
      <vt:lpstr>Motors</vt:lpstr>
      <vt:lpstr>Drop-downs</vt:lpstr>
      <vt:lpstr>Page 12</vt:lpstr>
      <vt:lpstr>Rails</vt:lpstr>
      <vt:lpstr>Pricing</vt:lpstr>
      <vt:lpstr>SALES TEXT</vt:lpstr>
      <vt:lpstr>Production (Summary)</vt:lpstr>
      <vt:lpstr>SF7.1</vt:lpstr>
      <vt:lpstr>Summary</vt:lpstr>
      <vt:lpstr>BOM</vt:lpstr>
      <vt:lpstr>Pricing (Summary)</vt:lpstr>
      <vt:lpstr>Stands</vt:lpstr>
      <vt:lpstr>Sprockets</vt:lpstr>
      <vt:lpstr>Spare Belt</vt:lpstr>
      <vt:lpstr>Revisions</vt:lpstr>
      <vt:lpstr>_max1</vt:lpstr>
      <vt:lpstr>_max2</vt:lpstr>
      <vt:lpstr>_max3</vt:lpstr>
      <vt:lpstr>_min1</vt:lpstr>
      <vt:lpstr>_min2</vt:lpstr>
      <vt:lpstr>_min3</vt:lpstr>
      <vt:lpstr>_sf71</vt:lpstr>
      <vt:lpstr>AU_Orientation</vt:lpstr>
      <vt:lpstr>Base</vt:lpstr>
      <vt:lpstr>Belt_Cost</vt:lpstr>
      <vt:lpstr>BeltQuoteRange</vt:lpstr>
      <vt:lpstr>BeltRange</vt:lpstr>
      <vt:lpstr>BeltRangePrice</vt:lpstr>
      <vt:lpstr>BeltSelection</vt:lpstr>
      <vt:lpstr>BOM_01</vt:lpstr>
      <vt:lpstr>BOMRANGE</vt:lpstr>
      <vt:lpstr>CenterDriveVersion</vt:lpstr>
      <vt:lpstr>Code</vt:lpstr>
      <vt:lpstr>ConstantorVariable</vt:lpstr>
      <vt:lpstr>Control_Voltage</vt:lpstr>
      <vt:lpstr>ConveyorWidth</vt:lpstr>
      <vt:lpstr>FixedorAdjustableRails</vt:lpstr>
      <vt:lpstr>FrictionFactor</vt:lpstr>
      <vt:lpstr>HeadDriveVersion</vt:lpstr>
      <vt:lpstr>HeadorCenter</vt:lpstr>
      <vt:lpstr>Help_01</vt:lpstr>
      <vt:lpstr>HMax</vt:lpstr>
      <vt:lpstr>HMin</vt:lpstr>
      <vt:lpstr>info1</vt:lpstr>
      <vt:lpstr>info10</vt:lpstr>
      <vt:lpstr>info2</vt:lpstr>
      <vt:lpstr>info3a</vt:lpstr>
      <vt:lpstr>info3b</vt:lpstr>
      <vt:lpstr>info3c</vt:lpstr>
      <vt:lpstr>info4</vt:lpstr>
      <vt:lpstr>info5a</vt:lpstr>
      <vt:lpstr>info5b</vt:lpstr>
      <vt:lpstr>info5c</vt:lpstr>
      <vt:lpstr>info5d</vt:lpstr>
      <vt:lpstr>info6</vt:lpstr>
      <vt:lpstr>info7a</vt:lpstr>
      <vt:lpstr>info7b</vt:lpstr>
      <vt:lpstr>info7c</vt:lpstr>
      <vt:lpstr>LeftorRight</vt:lpstr>
      <vt:lpstr>List_Price</vt:lpstr>
      <vt:lpstr>Load_Range</vt:lpstr>
      <vt:lpstr>MinDia</vt:lpstr>
      <vt:lpstr>MotorRange</vt:lpstr>
      <vt:lpstr>Net_to_Customer</vt:lpstr>
      <vt:lpstr>OilGrease</vt:lpstr>
      <vt:lpstr>Option_01</vt:lpstr>
      <vt:lpstr>Option_02</vt:lpstr>
      <vt:lpstr>Option_03</vt:lpstr>
      <vt:lpstr>Option_Sum</vt:lpstr>
      <vt:lpstr>p0q1</vt:lpstr>
      <vt:lpstr>P0Q12</vt:lpstr>
      <vt:lpstr>P0Q14</vt:lpstr>
      <vt:lpstr>P0Q2</vt:lpstr>
      <vt:lpstr>p0q3</vt:lpstr>
      <vt:lpstr>P0Q3_Select</vt:lpstr>
      <vt:lpstr>P0Q4</vt:lpstr>
      <vt:lpstr>P0Q4_Select</vt:lpstr>
      <vt:lpstr>P0Q5</vt:lpstr>
      <vt:lpstr>P0Q6</vt:lpstr>
      <vt:lpstr>p0q8</vt:lpstr>
      <vt:lpstr>p0q9</vt:lpstr>
      <vt:lpstr>P10Q1</vt:lpstr>
      <vt:lpstr>P10q10</vt:lpstr>
      <vt:lpstr>p10q11</vt:lpstr>
      <vt:lpstr>p10q12</vt:lpstr>
      <vt:lpstr>p10q13</vt:lpstr>
      <vt:lpstr>P10Q2</vt:lpstr>
      <vt:lpstr>P10Q3</vt:lpstr>
      <vt:lpstr>P10q8</vt:lpstr>
      <vt:lpstr>P10q9</vt:lpstr>
      <vt:lpstr>P12q1</vt:lpstr>
      <vt:lpstr>P12q2</vt:lpstr>
      <vt:lpstr>p12q3</vt:lpstr>
      <vt:lpstr>P1Q1</vt:lpstr>
      <vt:lpstr>P1Q2</vt:lpstr>
      <vt:lpstr>P2Q1</vt:lpstr>
      <vt:lpstr>P2Q2</vt:lpstr>
      <vt:lpstr>P2Q3</vt:lpstr>
      <vt:lpstr>p2q4</vt:lpstr>
      <vt:lpstr>p2q5</vt:lpstr>
      <vt:lpstr>P2Q8</vt:lpstr>
      <vt:lpstr>P6Q1</vt:lpstr>
      <vt:lpstr>P6Q10</vt:lpstr>
      <vt:lpstr>P6Q2</vt:lpstr>
      <vt:lpstr>P6Q3</vt:lpstr>
      <vt:lpstr>P6Q4</vt:lpstr>
      <vt:lpstr>P6Q4a</vt:lpstr>
      <vt:lpstr>P6Q5</vt:lpstr>
      <vt:lpstr>P6Q6</vt:lpstr>
      <vt:lpstr>P6Q7</vt:lpstr>
      <vt:lpstr>P6Q8</vt:lpstr>
      <vt:lpstr>P6Q9</vt:lpstr>
      <vt:lpstr>P7EffectiveWidth</vt:lpstr>
      <vt:lpstr>P7Q1</vt:lpstr>
      <vt:lpstr>P7Q2</vt:lpstr>
      <vt:lpstr>P7Q5</vt:lpstr>
      <vt:lpstr>P7Q7</vt:lpstr>
      <vt:lpstr>P8Q1</vt:lpstr>
      <vt:lpstr>Page10Cells</vt:lpstr>
      <vt:lpstr>Page13Cells</vt:lpstr>
      <vt:lpstr>Page1Cells</vt:lpstr>
      <vt:lpstr>Page6Range</vt:lpstr>
      <vt:lpstr>Page7Test</vt:lpstr>
      <vt:lpstr>PartsRange</vt:lpstr>
      <vt:lpstr>PreferredVoltage</vt:lpstr>
      <vt:lpstr>PrefMotor</vt:lpstr>
      <vt:lpstr>Price_01</vt:lpstr>
      <vt:lpstr>Price_02</vt:lpstr>
      <vt:lpstr>Price_03</vt:lpstr>
      <vt:lpstr>Price_04</vt:lpstr>
      <vt:lpstr>Price_05</vt:lpstr>
      <vt:lpstr>Price_06</vt:lpstr>
      <vt:lpstr>Price_07</vt:lpstr>
      <vt:lpstr>Price_08</vt:lpstr>
      <vt:lpstr>Price_09</vt:lpstr>
      <vt:lpstr>Price_10</vt:lpstr>
      <vt:lpstr>Price_11</vt:lpstr>
      <vt:lpstr>'Parts List'!Print_Area</vt:lpstr>
      <vt:lpstr>Proposal!Print_Area</vt:lpstr>
      <vt:lpstr>Proposal</vt:lpstr>
      <vt:lpstr>quote1</vt:lpstr>
      <vt:lpstr>quote10</vt:lpstr>
      <vt:lpstr>quote103</vt:lpstr>
      <vt:lpstr>quote104</vt:lpstr>
      <vt:lpstr>quote105</vt:lpstr>
      <vt:lpstr>quote106</vt:lpstr>
      <vt:lpstr>quote111</vt:lpstr>
      <vt:lpstr>quote112</vt:lpstr>
      <vt:lpstr>quote113</vt:lpstr>
      <vt:lpstr>quote12</vt:lpstr>
      <vt:lpstr>quote13</vt:lpstr>
      <vt:lpstr>quote14</vt:lpstr>
      <vt:lpstr>quote16</vt:lpstr>
      <vt:lpstr>quote18</vt:lpstr>
      <vt:lpstr>quote19</vt:lpstr>
      <vt:lpstr>quote2</vt:lpstr>
      <vt:lpstr>quote20</vt:lpstr>
      <vt:lpstr>quote21</vt:lpstr>
      <vt:lpstr>quote22</vt:lpstr>
      <vt:lpstr>quote23</vt:lpstr>
      <vt:lpstr>quote24</vt:lpstr>
      <vt:lpstr>quote25</vt:lpstr>
      <vt:lpstr>quote26</vt:lpstr>
      <vt:lpstr>quote28</vt:lpstr>
      <vt:lpstr>quote3</vt:lpstr>
      <vt:lpstr>quote32</vt:lpstr>
      <vt:lpstr>quote34</vt:lpstr>
      <vt:lpstr>quote35</vt:lpstr>
      <vt:lpstr>quote4</vt:lpstr>
      <vt:lpstr>quote42</vt:lpstr>
      <vt:lpstr>quote43</vt:lpstr>
      <vt:lpstr>quote44</vt:lpstr>
      <vt:lpstr>quote45</vt:lpstr>
      <vt:lpstr>quote46</vt:lpstr>
      <vt:lpstr>quote47</vt:lpstr>
      <vt:lpstr>quote48</vt:lpstr>
      <vt:lpstr>quote49</vt:lpstr>
      <vt:lpstr>quote5</vt:lpstr>
      <vt:lpstr>quote50</vt:lpstr>
      <vt:lpstr>quote51</vt:lpstr>
      <vt:lpstr>quote52</vt:lpstr>
      <vt:lpstr>quote53</vt:lpstr>
      <vt:lpstr>quote54</vt:lpstr>
      <vt:lpstr>quote59</vt:lpstr>
      <vt:lpstr>quote6</vt:lpstr>
      <vt:lpstr>quote61</vt:lpstr>
      <vt:lpstr>quote62</vt:lpstr>
      <vt:lpstr>quote63</vt:lpstr>
      <vt:lpstr>quote64</vt:lpstr>
      <vt:lpstr>quote65</vt:lpstr>
      <vt:lpstr>quote66</vt:lpstr>
      <vt:lpstr>quote67</vt:lpstr>
      <vt:lpstr>quote68</vt:lpstr>
      <vt:lpstr>quote69</vt:lpstr>
      <vt:lpstr>quote7</vt:lpstr>
      <vt:lpstr>Stands!quote70</vt:lpstr>
      <vt:lpstr>quote70</vt:lpstr>
      <vt:lpstr>quote71</vt:lpstr>
      <vt:lpstr>quote72</vt:lpstr>
      <vt:lpstr>quote73</vt:lpstr>
      <vt:lpstr>quote74</vt:lpstr>
      <vt:lpstr>quote75</vt:lpstr>
      <vt:lpstr>quote76</vt:lpstr>
      <vt:lpstr>quote76a</vt:lpstr>
      <vt:lpstr>quote77</vt:lpstr>
      <vt:lpstr>quote78</vt:lpstr>
      <vt:lpstr>quote79</vt:lpstr>
      <vt:lpstr>quote8</vt:lpstr>
      <vt:lpstr>quote81</vt:lpstr>
      <vt:lpstr>quote82</vt:lpstr>
      <vt:lpstr>quote83</vt:lpstr>
      <vt:lpstr>quote86</vt:lpstr>
      <vt:lpstr>quote87</vt:lpstr>
      <vt:lpstr>quote88</vt:lpstr>
      <vt:lpstr>quote89</vt:lpstr>
      <vt:lpstr>quote9</vt:lpstr>
      <vt:lpstr>Rail0</vt:lpstr>
      <vt:lpstr>RailQuantity</vt:lpstr>
      <vt:lpstr>RCode</vt:lpstr>
      <vt:lpstr>ReqHp</vt:lpstr>
      <vt:lpstr>Slider</vt:lpstr>
      <vt:lpstr>Spare_01</vt:lpstr>
      <vt:lpstr>Spare_02</vt:lpstr>
      <vt:lpstr>Spare_03</vt:lpstr>
      <vt:lpstr>Spec_Test</vt:lpstr>
      <vt:lpstr>Speed_Range</vt:lpstr>
      <vt:lpstr>SpeedControlOption</vt:lpstr>
      <vt:lpstr>SprocketD</vt:lpstr>
      <vt:lpstr>SprocketDZ1</vt:lpstr>
      <vt:lpstr>SprocketDZ2</vt:lpstr>
      <vt:lpstr>SprocketM</vt:lpstr>
      <vt:lpstr>SprocketRange</vt:lpstr>
      <vt:lpstr>Start</vt:lpstr>
      <vt:lpstr>TailOptions</vt:lpstr>
      <vt:lpstr>YesorNo</vt:lpstr>
      <vt:lpstr>Yushin_Markup</vt:lpstr>
      <vt:lpstr>Yushin_Net</vt:lpstr>
    </vt:vector>
  </TitlesOfParts>
  <Company>mk Automation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 Tietje</dc:creator>
  <cp:lastModifiedBy>Kate Nadeau</cp:lastModifiedBy>
  <cp:lastPrinted>2013-12-18T20:29:27Z</cp:lastPrinted>
  <dcterms:created xsi:type="dcterms:W3CDTF">2006-02-08T18:08:01Z</dcterms:created>
  <dcterms:modified xsi:type="dcterms:W3CDTF">2023-10-23T15:40:38Z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0x01010056EB9B3046762D4F8028541F8229C690</vt:lpwstr>
  </property>
</Properties>
</file>