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richey/Desktop/1_BOOTCAMP/repos/Project 3/1_REDashboard/"/>
    </mc:Choice>
  </mc:AlternateContent>
  <xr:revisionPtr revIDLastSave="0" documentId="8_{0A135A8E-F7AC-C545-AFC0-AB0F54331134}" xr6:coauthVersionLast="47" xr6:coauthVersionMax="47" xr10:uidLastSave="{00000000-0000-0000-0000-000000000000}"/>
  <bookViews>
    <workbookView xWindow="7440" yWindow="800" windowWidth="28400" windowHeight="20400" tabRatio="464" xr2:uid="{00000000-000D-0000-FFFF-FFFF00000000}"/>
  </bookViews>
  <sheets>
    <sheet name="1 Year Proforma + 30 year" sheetId="1" r:id="rId1"/>
    <sheet name="Full 30 year proforma" sheetId="2" r:id="rId2"/>
    <sheet name="Loan Amortization Schedule" sheetId="3" r:id="rId3"/>
    <sheet name="Rent Growth Schedule" sheetId="4" r:id="rId4"/>
  </sheets>
  <definedNames>
    <definedName name="Beg_Bal">'Loan Amortization Schedule'!$C$18:$C$497</definedName>
    <definedName name="End_Bal">'Loan Amortization Schedule'!$I$18:$I$497</definedName>
    <definedName name="Excel_BuiltIn_Print_Area">'1 Year Proforma + 30 year'!$B$2:$F$68</definedName>
    <definedName name="Excel_BuiltIn_Print_Area_1">'1 Year Proforma + 30 year'!$B$2:$D$54</definedName>
    <definedName name="Extra_Pay">'Loan Amortization Schedule'!$E$18:$E$497</definedName>
    <definedName name="Int">'Loan Amortization Schedule'!$H$18:$H$497</definedName>
    <definedName name="Interest_Rate">'Loan Amortization Schedule'!$D$6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Num">'Loan Amortization Schedule'!$A$18:$A$497</definedName>
    <definedName name="Princ">'Loan Amortization Schedule'!$G$18:$G$497</definedName>
    <definedName name="_xlnm.Print_Area" localSheetId="0">'1 Year Proforma + 30 year'!$B$2:$O$68</definedName>
    <definedName name="Sched_Pay">'Loan Amortization Schedule'!$D$18:$D$497</definedName>
    <definedName name="Scheduled_Extra_Payments">'Loan Amortization Schedule'!$D$10</definedName>
    <definedName name="Scheduled_Monthly_Payment">'Loan Amortization Schedule'!$J$5</definedName>
    <definedName name="Total_Pay">'Loan Amortization Schedule'!$F$18:$F$497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2" i="1" l="1"/>
  <c r="C10" i="1" l="1"/>
  <c r="D17" i="1"/>
  <c r="C23" i="1" l="1"/>
  <c r="C27" i="1"/>
  <c r="D27" i="1" s="1"/>
  <c r="H34" i="1" s="1"/>
  <c r="D25" i="1"/>
  <c r="D26" i="1"/>
  <c r="H33" i="1" s="1"/>
  <c r="D28" i="1"/>
  <c r="H36" i="1" s="1"/>
  <c r="I36" i="1" s="1"/>
  <c r="J36" i="1" s="1"/>
  <c r="K36" i="1" s="1"/>
  <c r="L36" i="1" s="1"/>
  <c r="M36" i="1" s="1"/>
  <c r="N36" i="1" s="1"/>
  <c r="O36" i="1" s="1"/>
  <c r="H27" i="1"/>
  <c r="C5" i="2" s="1"/>
  <c r="D5" i="2" s="1"/>
  <c r="C18" i="1"/>
  <c r="C19" i="1" s="1"/>
  <c r="H31" i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H32" i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C8" i="1"/>
  <c r="C13" i="1"/>
  <c r="C14" i="1"/>
  <c r="C43" i="1"/>
  <c r="D5" i="3" s="1"/>
  <c r="D6" i="3"/>
  <c r="F38" i="1"/>
  <c r="H45" i="1" s="1"/>
  <c r="H49" i="1"/>
  <c r="I49" i="1" s="1"/>
  <c r="J49" i="1" s="1"/>
  <c r="K49" i="1" s="1"/>
  <c r="L49" i="1" s="1"/>
  <c r="M49" i="1" s="1"/>
  <c r="N49" i="1" s="1"/>
  <c r="O49" i="1" s="1"/>
  <c r="O51" i="1" s="1"/>
  <c r="C36" i="1"/>
  <c r="D36" i="1" s="1"/>
  <c r="C62" i="1"/>
  <c r="C63" i="1"/>
  <c r="U24" i="2"/>
  <c r="V24" i="2"/>
  <c r="W24" i="2"/>
  <c r="X24" i="2"/>
  <c r="Y24" i="2"/>
  <c r="Z24" i="2"/>
  <c r="AA24" i="2"/>
  <c r="AB24" i="2"/>
  <c r="AC24" i="2"/>
  <c r="AD24" i="2"/>
  <c r="AE24" i="2"/>
  <c r="AF24" i="2"/>
  <c r="D30" i="2"/>
  <c r="E30" i="2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H39" i="2"/>
  <c r="H46" i="2" s="1"/>
  <c r="A42" i="2"/>
  <c r="A43" i="2"/>
  <c r="A44" i="2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D6" i="4"/>
  <c r="D7" i="4"/>
  <c r="C18" i="4" s="1"/>
  <c r="D18" i="4" s="1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H35" i="1" l="1"/>
  <c r="I35" i="1" s="1"/>
  <c r="J35" i="1" s="1"/>
  <c r="K35" i="1" s="1"/>
  <c r="L35" i="1" s="1"/>
  <c r="M35" i="1" s="1"/>
  <c r="N35" i="1" s="1"/>
  <c r="O35" i="1" s="1"/>
  <c r="C29" i="1"/>
  <c r="C32" i="1" s="1"/>
  <c r="D18" i="1"/>
  <c r="H28" i="1" s="1"/>
  <c r="C6" i="2" s="1"/>
  <c r="C7" i="2" s="1"/>
  <c r="I31" i="1"/>
  <c r="J31" i="1" s="1"/>
  <c r="K31" i="1" s="1"/>
  <c r="L31" i="1" s="1"/>
  <c r="M31" i="1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I32" i="1"/>
  <c r="J32" i="1" s="1"/>
  <c r="K32" i="1" s="1"/>
  <c r="L32" i="1" s="1"/>
  <c r="M32" i="1" s="1"/>
  <c r="N32" i="1" s="1"/>
  <c r="O32" i="1" s="1"/>
  <c r="C12" i="1"/>
  <c r="B66" i="2" s="1"/>
  <c r="C38" i="1"/>
  <c r="D38" i="1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I27" i="1"/>
  <c r="J27" i="1" s="1"/>
  <c r="J28" i="1" s="1"/>
  <c r="J29" i="1" s="1"/>
  <c r="I45" i="1"/>
  <c r="J45" i="1" s="1"/>
  <c r="K45" i="1" s="1"/>
  <c r="L45" i="1" s="1"/>
  <c r="M45" i="1" s="1"/>
  <c r="N45" i="1" s="1"/>
  <c r="O45" i="1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I34" i="1"/>
  <c r="J34" i="1" s="1"/>
  <c r="K34" i="1" s="1"/>
  <c r="L34" i="1" s="1"/>
  <c r="M34" i="1" s="1"/>
  <c r="N34" i="1" s="1"/>
  <c r="O34" i="1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J6" i="3"/>
  <c r="J5" i="3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18" i="3"/>
  <c r="A19" i="3" s="1"/>
  <c r="C18" i="3"/>
  <c r="D19" i="1"/>
  <c r="I33" i="1"/>
  <c r="H37" i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E5" i="2"/>
  <c r="D29" i="1" l="1"/>
  <c r="D32" i="1" s="1"/>
  <c r="C64" i="1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H29" i="1"/>
  <c r="H39" i="1" s="1"/>
  <c r="H54" i="1" s="1"/>
  <c r="B49" i="2"/>
  <c r="B70" i="2"/>
  <c r="B53" i="2"/>
  <c r="B62" i="2"/>
  <c r="B69" i="2"/>
  <c r="B50" i="2"/>
  <c r="B42" i="2"/>
  <c r="B57" i="2"/>
  <c r="B61" i="2"/>
  <c r="B41" i="2"/>
  <c r="B55" i="2"/>
  <c r="B45" i="2"/>
  <c r="B60" i="2"/>
  <c r="B67" i="2"/>
  <c r="B64" i="2"/>
  <c r="B59" i="2"/>
  <c r="B48" i="2"/>
  <c r="B65" i="2"/>
  <c r="B47" i="2"/>
  <c r="B58" i="2"/>
  <c r="B52" i="2"/>
  <c r="B63" i="2"/>
  <c r="B46" i="2"/>
  <c r="B43" i="2"/>
  <c r="B54" i="2"/>
  <c r="B51" i="2"/>
  <c r="B68" i="2"/>
  <c r="B56" i="2"/>
  <c r="B44" i="2"/>
  <c r="B18" i="4"/>
  <c r="K27" i="1"/>
  <c r="L27" i="1" s="1"/>
  <c r="I28" i="1"/>
  <c r="I29" i="1" s="1"/>
  <c r="H18" i="3"/>
  <c r="J18" i="3" s="1"/>
  <c r="N31" i="1"/>
  <c r="J33" i="1"/>
  <c r="I37" i="1"/>
  <c r="C17" i="2"/>
  <c r="D18" i="3"/>
  <c r="E18" i="3" s="1"/>
  <c r="B18" i="3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F5" i="2"/>
  <c r="B19" i="4"/>
  <c r="A20" i="3"/>
  <c r="B19" i="3"/>
  <c r="D19" i="3"/>
  <c r="E7" i="2" l="1"/>
  <c r="E17" i="2" s="1"/>
  <c r="D7" i="2"/>
  <c r="D17" i="2" s="1"/>
  <c r="K28" i="1"/>
  <c r="K29" i="1" s="1"/>
  <c r="F18" i="3"/>
  <c r="C44" i="1" s="1"/>
  <c r="C33" i="1" s="1"/>
  <c r="I39" i="1"/>
  <c r="I54" i="1" s="1"/>
  <c r="K33" i="1"/>
  <c r="J37" i="1"/>
  <c r="J39" i="1" s="1"/>
  <c r="J54" i="1" s="1"/>
  <c r="L28" i="1"/>
  <c r="L29" i="1" s="1"/>
  <c r="M27" i="1"/>
  <c r="O31" i="1"/>
  <c r="G5" i="2"/>
  <c r="F7" i="2"/>
  <c r="F17" i="2" s="1"/>
  <c r="A21" i="3"/>
  <c r="B20" i="4"/>
  <c r="B20" i="3"/>
  <c r="D20" i="3"/>
  <c r="G18" i="3" l="1"/>
  <c r="L18" i="3" s="1"/>
  <c r="L33" i="1"/>
  <c r="K37" i="1"/>
  <c r="K39" i="1" s="1"/>
  <c r="K54" i="1" s="1"/>
  <c r="N27" i="1"/>
  <c r="M28" i="1"/>
  <c r="M29" i="1" s="1"/>
  <c r="D21" i="3"/>
  <c r="B21" i="4"/>
  <c r="A22" i="3"/>
  <c r="B21" i="3"/>
  <c r="C61" i="1"/>
  <c r="D33" i="1"/>
  <c r="C34" i="1"/>
  <c r="C35" i="1"/>
  <c r="G7" i="2"/>
  <c r="G17" i="2" s="1"/>
  <c r="H5" i="2"/>
  <c r="I18" i="3" l="1"/>
  <c r="M33" i="1"/>
  <c r="L37" i="1"/>
  <c r="L39" i="1" s="1"/>
  <c r="L54" i="1" s="1"/>
  <c r="O27" i="1"/>
  <c r="N28" i="1"/>
  <c r="N29" i="1" s="1"/>
  <c r="C37" i="1"/>
  <c r="D35" i="1"/>
  <c r="C19" i="3"/>
  <c r="B22" i="3"/>
  <c r="B22" i="4"/>
  <c r="A23" i="3"/>
  <c r="D22" i="3"/>
  <c r="H7" i="2"/>
  <c r="H17" i="2" s="1"/>
  <c r="I5" i="2"/>
  <c r="H40" i="1"/>
  <c r="D34" i="1"/>
  <c r="C65" i="1" s="1"/>
  <c r="N33" i="1" l="1"/>
  <c r="M37" i="1"/>
  <c r="M39" i="1" s="1"/>
  <c r="M54" i="1" s="1"/>
  <c r="O28" i="1"/>
  <c r="O29" i="1" s="1"/>
  <c r="I7" i="2"/>
  <c r="I17" i="2" s="1"/>
  <c r="J5" i="2"/>
  <c r="C18" i="2"/>
  <c r="I40" i="1"/>
  <c r="H41" i="1"/>
  <c r="B23" i="3"/>
  <c r="A24" i="3"/>
  <c r="B23" i="4"/>
  <c r="D23" i="3"/>
  <c r="H19" i="3"/>
  <c r="E19" i="3"/>
  <c r="D37" i="1"/>
  <c r="C66" i="1" s="1"/>
  <c r="C39" i="1"/>
  <c r="D39" i="1" s="1"/>
  <c r="C67" i="1" s="1"/>
  <c r="O33" i="1" l="1"/>
  <c r="O37" i="1" s="1"/>
  <c r="O39" i="1" s="1"/>
  <c r="O54" i="1" s="1"/>
  <c r="N37" i="1"/>
  <c r="N39" i="1" s="1"/>
  <c r="N54" i="1" s="1"/>
  <c r="F19" i="3"/>
  <c r="G19" i="3" s="1"/>
  <c r="L19" i="3" s="1"/>
  <c r="K5" i="2"/>
  <c r="J7" i="2"/>
  <c r="J17" i="2" s="1"/>
  <c r="J19" i="3"/>
  <c r="A25" i="3"/>
  <c r="D24" i="3"/>
  <c r="B24" i="3"/>
  <c r="B24" i="4"/>
  <c r="H55" i="1"/>
  <c r="H42" i="1"/>
  <c r="J40" i="1"/>
  <c r="I41" i="1"/>
  <c r="D18" i="2"/>
  <c r="C19" i="2"/>
  <c r="I19" i="3" l="1"/>
  <c r="C20" i="3" s="1"/>
  <c r="I42" i="1"/>
  <c r="I55" i="1"/>
  <c r="E18" i="2"/>
  <c r="D19" i="2"/>
  <c r="K7" i="2"/>
  <c r="K17" i="2" s="1"/>
  <c r="L5" i="2"/>
  <c r="C38" i="2"/>
  <c r="C42" i="2" s="1"/>
  <c r="C20" i="2"/>
  <c r="C33" i="2"/>
  <c r="C32" i="2"/>
  <c r="J41" i="1"/>
  <c r="K40" i="1"/>
  <c r="B25" i="3"/>
  <c r="D25" i="3"/>
  <c r="B25" i="4"/>
  <c r="A26" i="3"/>
  <c r="J42" i="1" l="1"/>
  <c r="J55" i="1"/>
  <c r="D38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33" i="2"/>
  <c r="D20" i="2"/>
  <c r="H20" i="3"/>
  <c r="E20" i="3"/>
  <c r="D32" i="2"/>
  <c r="L7" i="2"/>
  <c r="L17" i="2" s="1"/>
  <c r="M5" i="2"/>
  <c r="F18" i="2"/>
  <c r="E19" i="2"/>
  <c r="E32" i="2" s="1"/>
  <c r="B26" i="3"/>
  <c r="A27" i="3"/>
  <c r="B26" i="4"/>
  <c r="D26" i="3"/>
  <c r="K41" i="1"/>
  <c r="L40" i="1"/>
  <c r="C43" i="2"/>
  <c r="B27" i="4" l="1"/>
  <c r="B27" i="3"/>
  <c r="A28" i="3"/>
  <c r="D27" i="3"/>
  <c r="G18" i="2"/>
  <c r="F19" i="2"/>
  <c r="F20" i="3"/>
  <c r="G20" i="3" s="1"/>
  <c r="L20" i="3" s="1"/>
  <c r="K55" i="1"/>
  <c r="K42" i="1"/>
  <c r="J20" i="3"/>
  <c r="C44" i="2"/>
  <c r="M7" i="2"/>
  <c r="M17" i="2" s="1"/>
  <c r="N5" i="2"/>
  <c r="M40" i="1"/>
  <c r="L41" i="1"/>
  <c r="E20" i="2"/>
  <c r="E38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33" i="2"/>
  <c r="N40" i="1" l="1"/>
  <c r="M41" i="1"/>
  <c r="L55" i="1"/>
  <c r="L42" i="1"/>
  <c r="C45" i="2"/>
  <c r="I20" i="3"/>
  <c r="H18" i="2"/>
  <c r="G19" i="2"/>
  <c r="G32" i="2" s="1"/>
  <c r="D28" i="3"/>
  <c r="B28" i="4"/>
  <c r="A29" i="3"/>
  <c r="B28" i="3"/>
  <c r="F20" i="2"/>
  <c r="F38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33" i="2"/>
  <c r="O5" i="2"/>
  <c r="N7" i="2"/>
  <c r="N17" i="2" s="1"/>
  <c r="F32" i="2"/>
  <c r="B29" i="3" l="1"/>
  <c r="B29" i="4"/>
  <c r="D29" i="3"/>
  <c r="A30" i="3"/>
  <c r="C46" i="2"/>
  <c r="I18" i="2"/>
  <c r="H19" i="2"/>
  <c r="H32" i="2" s="1"/>
  <c r="M55" i="1"/>
  <c r="M42" i="1"/>
  <c r="P5" i="2"/>
  <c r="O7" i="2"/>
  <c r="O17" i="2" s="1"/>
  <c r="C21" i="3"/>
  <c r="O40" i="1"/>
  <c r="O41" i="1" s="1"/>
  <c r="N41" i="1"/>
  <c r="G38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33" i="2"/>
  <c r="G20" i="2"/>
  <c r="N55" i="1" l="1"/>
  <c r="N42" i="1"/>
  <c r="J18" i="2"/>
  <c r="I19" i="2"/>
  <c r="I32" i="2" s="1"/>
  <c r="C47" i="2"/>
  <c r="H36" i="2"/>
  <c r="B30" i="3"/>
  <c r="A31" i="3"/>
  <c r="B30" i="4"/>
  <c r="D30" i="3"/>
  <c r="O42" i="1"/>
  <c r="O55" i="1"/>
  <c r="P7" i="2"/>
  <c r="P17" i="2" s="1"/>
  <c r="Q5" i="2"/>
  <c r="H21" i="3"/>
  <c r="E21" i="3"/>
  <c r="H20" i="2"/>
  <c r="H33" i="2"/>
  <c r="H38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K18" i="2" l="1"/>
  <c r="J19" i="2"/>
  <c r="J32" i="2" s="1"/>
  <c r="C48" i="2"/>
  <c r="F21" i="3"/>
  <c r="G21" i="3" s="1"/>
  <c r="L21" i="3" s="1"/>
  <c r="D31" i="3"/>
  <c r="B31" i="4"/>
  <c r="B31" i="3"/>
  <c r="A32" i="3"/>
  <c r="J21" i="3"/>
  <c r="Q7" i="2"/>
  <c r="Q17" i="2" s="1"/>
  <c r="R5" i="2"/>
  <c r="I20" i="2"/>
  <c r="I33" i="2"/>
  <c r="I38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21" i="3" l="1"/>
  <c r="C22" i="3" s="1"/>
  <c r="B32" i="3"/>
  <c r="B32" i="4"/>
  <c r="D32" i="3"/>
  <c r="A33" i="3"/>
  <c r="L18" i="2"/>
  <c r="K19" i="2"/>
  <c r="S5" i="2"/>
  <c r="R7" i="2"/>
  <c r="R17" i="2" s="1"/>
  <c r="C49" i="2"/>
  <c r="J20" i="2"/>
  <c r="J33" i="2"/>
  <c r="J38" i="2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S7" i="2" l="1"/>
  <c r="S17" i="2" s="1"/>
  <c r="T5" i="2"/>
  <c r="B33" i="3"/>
  <c r="D33" i="3"/>
  <c r="B33" i="4"/>
  <c r="A34" i="3"/>
  <c r="K33" i="2"/>
  <c r="K38" i="2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20" i="2"/>
  <c r="C50" i="2"/>
  <c r="K32" i="2"/>
  <c r="M18" i="2"/>
  <c r="L19" i="2"/>
  <c r="L32" i="2" s="1"/>
  <c r="H22" i="3"/>
  <c r="E22" i="3"/>
  <c r="A35" i="3" l="1"/>
  <c r="B34" i="3"/>
  <c r="D34" i="3"/>
  <c r="B34" i="4"/>
  <c r="F22" i="3"/>
  <c r="G22" i="3" s="1"/>
  <c r="L22" i="3" s="1"/>
  <c r="N18" i="2"/>
  <c r="M19" i="2"/>
  <c r="C51" i="2"/>
  <c r="J22" i="3"/>
  <c r="T7" i="2"/>
  <c r="T17" i="2" s="1"/>
  <c r="U5" i="2"/>
  <c r="L20" i="2"/>
  <c r="L33" i="2"/>
  <c r="L38" i="2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I22" i="3" l="1"/>
  <c r="C23" i="3" s="1"/>
  <c r="O18" i="2"/>
  <c r="N19" i="2"/>
  <c r="N32" i="2" s="1"/>
  <c r="M38" i="2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33" i="2"/>
  <c r="M20" i="2"/>
  <c r="M32" i="2"/>
  <c r="B35" i="3"/>
  <c r="B35" i="4"/>
  <c r="D35" i="3"/>
  <c r="A36" i="3"/>
  <c r="U7" i="2"/>
  <c r="U17" i="2" s="1"/>
  <c r="V5" i="2"/>
  <c r="C52" i="2"/>
  <c r="W5" i="2" l="1"/>
  <c r="V7" i="2"/>
  <c r="V17" i="2" s="1"/>
  <c r="B36" i="4"/>
  <c r="A37" i="3"/>
  <c r="B36" i="3"/>
  <c r="D36" i="3"/>
  <c r="N38" i="2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33" i="2"/>
  <c r="N20" i="2"/>
  <c r="H23" i="3"/>
  <c r="J23" i="3" s="1"/>
  <c r="E23" i="3"/>
  <c r="C53" i="2"/>
  <c r="P18" i="2"/>
  <c r="O19" i="2"/>
  <c r="C54" i="2" l="1"/>
  <c r="O20" i="2"/>
  <c r="O38" i="2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33" i="2"/>
  <c r="X5" i="2"/>
  <c r="W7" i="2"/>
  <c r="W17" i="2" s="1"/>
  <c r="O32" i="2"/>
  <c r="Q18" i="2"/>
  <c r="P19" i="2"/>
  <c r="F23" i="3"/>
  <c r="G23" i="3" s="1"/>
  <c r="L23" i="3" s="1"/>
  <c r="B37" i="3"/>
  <c r="B37" i="4"/>
  <c r="D37" i="3"/>
  <c r="A38" i="3"/>
  <c r="I23" i="3" l="1"/>
  <c r="C24" i="3" s="1"/>
  <c r="E24" i="3" s="1"/>
  <c r="B38" i="3"/>
  <c r="A39" i="3"/>
  <c r="D38" i="3"/>
  <c r="B38" i="4"/>
  <c r="P38" i="2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33" i="2"/>
  <c r="P20" i="2"/>
  <c r="P32" i="2"/>
  <c r="X7" i="2"/>
  <c r="X17" i="2" s="1"/>
  <c r="Y5" i="2"/>
  <c r="R18" i="2"/>
  <c r="Q19" i="2"/>
  <c r="Q32" i="2" s="1"/>
  <c r="C55" i="2"/>
  <c r="H24" i="3" l="1"/>
  <c r="J24" i="3" s="1"/>
  <c r="S18" i="2"/>
  <c r="R19" i="2"/>
  <c r="Z5" i="2"/>
  <c r="Y7" i="2"/>
  <c r="Y17" i="2" s="1"/>
  <c r="A40" i="3"/>
  <c r="B39" i="4"/>
  <c r="D39" i="3"/>
  <c r="B39" i="3"/>
  <c r="F24" i="3"/>
  <c r="C56" i="2"/>
  <c r="Q20" i="2"/>
  <c r="Q38" i="2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33" i="2"/>
  <c r="G24" i="3" l="1"/>
  <c r="L24" i="3" s="1"/>
  <c r="R38" i="2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33" i="2"/>
  <c r="R20" i="2"/>
  <c r="C57" i="2"/>
  <c r="B40" i="4"/>
  <c r="A41" i="3"/>
  <c r="D40" i="3"/>
  <c r="B40" i="3"/>
  <c r="R32" i="2"/>
  <c r="AA5" i="2"/>
  <c r="Z7" i="2"/>
  <c r="Z17" i="2" s="1"/>
  <c r="T18" i="2"/>
  <c r="S19" i="2"/>
  <c r="I24" i="3" l="1"/>
  <c r="C25" i="3" s="1"/>
  <c r="E25" i="3" s="1"/>
  <c r="F25" i="3" s="1"/>
  <c r="S33" i="2"/>
  <c r="S38" i="2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20" i="2"/>
  <c r="C58" i="2"/>
  <c r="AB5" i="2"/>
  <c r="AA7" i="2"/>
  <c r="AA17" i="2" s="1"/>
  <c r="S32" i="2"/>
  <c r="B41" i="3"/>
  <c r="B41" i="4"/>
  <c r="D41" i="3"/>
  <c r="A42" i="3"/>
  <c r="U18" i="2"/>
  <c r="T19" i="2"/>
  <c r="T32" i="2" s="1"/>
  <c r="H25" i="3" l="1"/>
  <c r="J25" i="3" s="1"/>
  <c r="V18" i="2"/>
  <c r="U19" i="2"/>
  <c r="U32" i="2" s="1"/>
  <c r="C59" i="2"/>
  <c r="T38" i="2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33" i="2"/>
  <c r="T20" i="2"/>
  <c r="D42" i="3"/>
  <c r="B42" i="4"/>
  <c r="B42" i="3"/>
  <c r="A43" i="3"/>
  <c r="AB7" i="2"/>
  <c r="AB17" i="2" s="1"/>
  <c r="AC5" i="2"/>
  <c r="G25" i="3" l="1"/>
  <c r="B43" i="3"/>
  <c r="D43" i="3"/>
  <c r="A44" i="3"/>
  <c r="B43" i="4"/>
  <c r="W18" i="2"/>
  <c r="V19" i="2"/>
  <c r="V32" i="2" s="1"/>
  <c r="C60" i="2"/>
  <c r="AC7" i="2"/>
  <c r="AC17" i="2" s="1"/>
  <c r="AD5" i="2"/>
  <c r="U20" i="2"/>
  <c r="U33" i="2"/>
  <c r="U38" i="2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L25" i="3" l="1"/>
  <c r="I25" i="3"/>
  <c r="C26" i="3" s="1"/>
  <c r="C61" i="2"/>
  <c r="AE5" i="2"/>
  <c r="AD7" i="2"/>
  <c r="AD17" i="2" s="1"/>
  <c r="V38" i="2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33" i="2"/>
  <c r="V20" i="2"/>
  <c r="D44" i="3"/>
  <c r="B44" i="3"/>
  <c r="A45" i="3"/>
  <c r="B44" i="4"/>
  <c r="X18" i="2"/>
  <c r="W19" i="2"/>
  <c r="E26" i="3" l="1"/>
  <c r="H26" i="3"/>
  <c r="J26" i="3" s="1"/>
  <c r="D45" i="3"/>
  <c r="B45" i="3"/>
  <c r="B45" i="4"/>
  <c r="A46" i="3"/>
  <c r="AF5" i="2"/>
  <c r="AF7" i="2" s="1"/>
  <c r="AF17" i="2" s="1"/>
  <c r="AE7" i="2"/>
  <c r="AE17" i="2" s="1"/>
  <c r="W33" i="2"/>
  <c r="W38" i="2"/>
  <c r="W62" i="2" s="1"/>
  <c r="W63" i="2" s="1"/>
  <c r="W64" i="2" s="1"/>
  <c r="W65" i="2" s="1"/>
  <c r="W66" i="2" s="1"/>
  <c r="W67" i="2" s="1"/>
  <c r="W68" i="2" s="1"/>
  <c r="W69" i="2" s="1"/>
  <c r="W70" i="2" s="1"/>
  <c r="W20" i="2"/>
  <c r="C62" i="2"/>
  <c r="Y18" i="2"/>
  <c r="X19" i="2"/>
  <c r="W32" i="2"/>
  <c r="F26" i="3" l="1"/>
  <c r="G26" i="3" s="1"/>
  <c r="L26" i="3" s="1"/>
  <c r="X33" i="2"/>
  <c r="X38" i="2"/>
  <c r="X63" i="2" s="1"/>
  <c r="X64" i="2" s="1"/>
  <c r="X65" i="2" s="1"/>
  <c r="X66" i="2" s="1"/>
  <c r="X67" i="2" s="1"/>
  <c r="X68" i="2" s="1"/>
  <c r="X69" i="2" s="1"/>
  <c r="X70" i="2" s="1"/>
  <c r="X20" i="2"/>
  <c r="C63" i="2"/>
  <c r="B46" i="4"/>
  <c r="B46" i="3"/>
  <c r="D46" i="3"/>
  <c r="A47" i="3"/>
  <c r="X32" i="2"/>
  <c r="Z18" i="2"/>
  <c r="Y19" i="2"/>
  <c r="Y32" i="2" s="1"/>
  <c r="I26" i="3" l="1"/>
  <c r="C27" i="3" s="1"/>
  <c r="H27" i="3" s="1"/>
  <c r="J27" i="3" s="1"/>
  <c r="Y20" i="2"/>
  <c r="Y33" i="2"/>
  <c r="Y38" i="2"/>
  <c r="Y64" i="2" s="1"/>
  <c r="Y65" i="2" s="1"/>
  <c r="Y66" i="2" s="1"/>
  <c r="Y67" i="2" s="1"/>
  <c r="Y68" i="2" s="1"/>
  <c r="Y69" i="2" s="1"/>
  <c r="Y70" i="2" s="1"/>
  <c r="A48" i="3"/>
  <c r="D47" i="3"/>
  <c r="B47" i="4"/>
  <c r="B47" i="3"/>
  <c r="C64" i="2"/>
  <c r="AA18" i="2"/>
  <c r="Z19" i="2"/>
  <c r="Z32" i="2" s="1"/>
  <c r="E27" i="3" l="1"/>
  <c r="F27" i="3" s="1"/>
  <c r="G27" i="3" s="1"/>
  <c r="L27" i="3" s="1"/>
  <c r="C65" i="2"/>
  <c r="Z20" i="2"/>
  <c r="Z38" i="2"/>
  <c r="Z65" i="2" s="1"/>
  <c r="Z66" i="2" s="1"/>
  <c r="Z67" i="2" s="1"/>
  <c r="Z68" i="2" s="1"/>
  <c r="Z69" i="2" s="1"/>
  <c r="Z70" i="2" s="1"/>
  <c r="Z33" i="2"/>
  <c r="AB18" i="2"/>
  <c r="AA19" i="2"/>
  <c r="AA32" i="2" s="1"/>
  <c r="A49" i="3"/>
  <c r="B48" i="4"/>
  <c r="D48" i="3"/>
  <c r="B48" i="3"/>
  <c r="I27" i="3" l="1"/>
  <c r="C28" i="3" s="1"/>
  <c r="H28" i="3" s="1"/>
  <c r="J28" i="3" s="1"/>
  <c r="E28" i="3"/>
  <c r="F28" i="3" s="1"/>
  <c r="G28" i="3" s="1"/>
  <c r="L28" i="3" s="1"/>
  <c r="AC18" i="2"/>
  <c r="AB19" i="2"/>
  <c r="D49" i="3"/>
  <c r="B49" i="4"/>
  <c r="B49" i="3"/>
  <c r="A50" i="3"/>
  <c r="AA33" i="2"/>
  <c r="AA20" i="2"/>
  <c r="AA38" i="2"/>
  <c r="AA66" i="2" s="1"/>
  <c r="AA67" i="2" s="1"/>
  <c r="AA68" i="2" s="1"/>
  <c r="AA69" i="2" s="1"/>
  <c r="AA70" i="2" s="1"/>
  <c r="C66" i="2"/>
  <c r="I28" i="3" l="1"/>
  <c r="C29" i="3" s="1"/>
  <c r="E29" i="3" s="1"/>
  <c r="AB33" i="2"/>
  <c r="AB20" i="2"/>
  <c r="AB38" i="2"/>
  <c r="AB67" i="2" s="1"/>
  <c r="AB68" i="2" s="1"/>
  <c r="AB69" i="2" s="1"/>
  <c r="AB70" i="2" s="1"/>
  <c r="C67" i="2"/>
  <c r="A51" i="3"/>
  <c r="B50" i="4"/>
  <c r="D50" i="3"/>
  <c r="B50" i="3"/>
  <c r="AB32" i="2"/>
  <c r="AD18" i="2"/>
  <c r="AC19" i="2"/>
  <c r="H29" i="3"/>
  <c r="J29" i="3" s="1"/>
  <c r="H46" i="1" s="1"/>
  <c r="AC38" i="2" l="1"/>
  <c r="AC68" i="2" s="1"/>
  <c r="AC69" i="2" s="1"/>
  <c r="AC70" i="2" s="1"/>
  <c r="AC33" i="2"/>
  <c r="AC20" i="2"/>
  <c r="D51" i="3"/>
  <c r="B51" i="4"/>
  <c r="A52" i="3"/>
  <c r="B51" i="3"/>
  <c r="C24" i="2"/>
  <c r="C68" i="2"/>
  <c r="AC32" i="2"/>
  <c r="F29" i="3"/>
  <c r="G29" i="3" s="1"/>
  <c r="L29" i="3" s="1"/>
  <c r="AE18" i="2"/>
  <c r="AD19" i="2"/>
  <c r="AD38" i="2" l="1"/>
  <c r="AD69" i="2" s="1"/>
  <c r="AD70" i="2" s="1"/>
  <c r="AD33" i="2"/>
  <c r="AD20" i="2"/>
  <c r="B52" i="3"/>
  <c r="B52" i="4"/>
  <c r="A53" i="3"/>
  <c r="D52" i="3"/>
  <c r="AF18" i="2"/>
  <c r="AE19" i="2"/>
  <c r="AD32" i="2"/>
  <c r="I29" i="3"/>
  <c r="H50" i="1" s="1"/>
  <c r="C69" i="2"/>
  <c r="C70" i="2" l="1"/>
  <c r="AE20" i="2"/>
  <c r="AE33" i="2"/>
  <c r="AE38" i="2"/>
  <c r="AE70" i="2" s="1"/>
  <c r="H51" i="1"/>
  <c r="C28" i="2"/>
  <c r="C29" i="2" s="1"/>
  <c r="C30" i="3"/>
  <c r="AE32" i="2"/>
  <c r="B53" i="4"/>
  <c r="D53" i="3"/>
  <c r="A54" i="3"/>
  <c r="B53" i="3"/>
  <c r="AF19" i="2"/>
  <c r="AF32" i="2" s="1"/>
  <c r="C39" i="2" l="1"/>
  <c r="C41" i="2" s="1"/>
  <c r="C36" i="2" s="1"/>
  <c r="C34" i="2"/>
  <c r="C35" i="2"/>
  <c r="B54" i="3"/>
  <c r="D54" i="3"/>
  <c r="A55" i="3"/>
  <c r="B54" i="4"/>
  <c r="H56" i="1"/>
  <c r="H30" i="3"/>
  <c r="J30" i="3" s="1"/>
  <c r="E30" i="3"/>
  <c r="AF20" i="2"/>
  <c r="AF38" i="2"/>
  <c r="AF33" i="2"/>
  <c r="D55" i="3" l="1"/>
  <c r="B55" i="3"/>
  <c r="B55" i="4"/>
  <c r="A56" i="3"/>
  <c r="F30" i="3"/>
  <c r="G30" i="3" s="1"/>
  <c r="L30" i="3" s="1"/>
  <c r="I30" i="3" l="1"/>
  <c r="C31" i="3" s="1"/>
  <c r="E31" i="3" s="1"/>
  <c r="B56" i="4"/>
  <c r="D56" i="3"/>
  <c r="B56" i="3"/>
  <c r="A57" i="3"/>
  <c r="H31" i="3" l="1"/>
  <c r="J31" i="3" s="1"/>
  <c r="F31" i="3"/>
  <c r="B57" i="3"/>
  <c r="A58" i="3"/>
  <c r="D57" i="3"/>
  <c r="B57" i="4"/>
  <c r="G31" i="3" l="1"/>
  <c r="L31" i="3" s="1"/>
  <c r="B58" i="3"/>
  <c r="D58" i="3"/>
  <c r="B58" i="4"/>
  <c r="A59" i="3"/>
  <c r="I31" i="3" l="1"/>
  <c r="C32" i="3" s="1"/>
  <c r="E32" i="3" s="1"/>
  <c r="D59" i="3"/>
  <c r="A60" i="3"/>
  <c r="B59" i="4"/>
  <c r="B59" i="3"/>
  <c r="H32" i="3" l="1"/>
  <c r="J32" i="3" s="1"/>
  <c r="D60" i="3"/>
  <c r="A61" i="3"/>
  <c r="B60" i="4"/>
  <c r="B60" i="3"/>
  <c r="F32" i="3"/>
  <c r="G32" i="3" l="1"/>
  <c r="L32" i="3" s="1"/>
  <c r="A62" i="3"/>
  <c r="D61" i="3"/>
  <c r="B61" i="3"/>
  <c r="B61" i="4"/>
  <c r="I32" i="3"/>
  <c r="C33" i="3" s="1"/>
  <c r="H33" i="3" l="1"/>
  <c r="J33" i="3" s="1"/>
  <c r="E33" i="3"/>
  <c r="D62" i="3"/>
  <c r="B62" i="4"/>
  <c r="B62" i="3"/>
  <c r="A63" i="3"/>
  <c r="B63" i="4" l="1"/>
  <c r="B63" i="3"/>
  <c r="D63" i="3"/>
  <c r="A64" i="3"/>
  <c r="F33" i="3"/>
  <c r="G33" i="3" s="1"/>
  <c r="L33" i="3" s="1"/>
  <c r="I33" i="3" l="1"/>
  <c r="C34" i="3" s="1"/>
  <c r="H34" i="3" s="1"/>
  <c r="J34" i="3" s="1"/>
  <c r="B64" i="4"/>
  <c r="A65" i="3"/>
  <c r="B64" i="3"/>
  <c r="D64" i="3"/>
  <c r="E34" i="3" l="1"/>
  <c r="F34" i="3" s="1"/>
  <c r="G34" i="3" s="1"/>
  <c r="L34" i="3" s="1"/>
  <c r="A66" i="3"/>
  <c r="B65" i="4"/>
  <c r="B65" i="3"/>
  <c r="D65" i="3"/>
  <c r="I34" i="3" l="1"/>
  <c r="C35" i="3" s="1"/>
  <c r="H35" i="3" s="1"/>
  <c r="J35" i="3" s="1"/>
  <c r="D66" i="3"/>
  <c r="A67" i="3"/>
  <c r="B66" i="4"/>
  <c r="B66" i="3"/>
  <c r="E35" i="3" l="1"/>
  <c r="F35" i="3" s="1"/>
  <c r="G35" i="3" s="1"/>
  <c r="L35" i="3" s="1"/>
  <c r="D67" i="3"/>
  <c r="A68" i="3"/>
  <c r="B67" i="4"/>
  <c r="B67" i="3"/>
  <c r="I35" i="3" l="1"/>
  <c r="C36" i="3" s="1"/>
  <c r="B68" i="4"/>
  <c r="B68" i="3"/>
  <c r="A69" i="3"/>
  <c r="D68" i="3"/>
  <c r="D69" i="3" l="1"/>
  <c r="B69" i="4"/>
  <c r="A70" i="3"/>
  <c r="B69" i="3"/>
  <c r="H36" i="3"/>
  <c r="J36" i="3" s="1"/>
  <c r="E36" i="3"/>
  <c r="F36" i="3" l="1"/>
  <c r="G36" i="3" s="1"/>
  <c r="L36" i="3" s="1"/>
  <c r="D70" i="3"/>
  <c r="B70" i="4"/>
  <c r="A71" i="3"/>
  <c r="B70" i="3"/>
  <c r="I36" i="3" l="1"/>
  <c r="C37" i="3" s="1"/>
  <c r="E37" i="3" s="1"/>
  <c r="D71" i="3"/>
  <c r="A72" i="3"/>
  <c r="B71" i="3"/>
  <c r="B71" i="4"/>
  <c r="H37" i="3" l="1"/>
  <c r="J37" i="3" s="1"/>
  <c r="F37" i="3"/>
  <c r="B72" i="3"/>
  <c r="B72" i="4"/>
  <c r="D72" i="3"/>
  <c r="A73" i="3"/>
  <c r="G37" i="3" l="1"/>
  <c r="L37" i="3" s="1"/>
  <c r="D73" i="3"/>
  <c r="B73" i="4"/>
  <c r="B73" i="3"/>
  <c r="A74" i="3"/>
  <c r="I37" i="3" l="1"/>
  <c r="C38" i="3" s="1"/>
  <c r="H38" i="3" s="1"/>
  <c r="J38" i="3" s="1"/>
  <c r="A75" i="3"/>
  <c r="B74" i="3"/>
  <c r="B74" i="4"/>
  <c r="D74" i="3"/>
  <c r="E38" i="3" l="1"/>
  <c r="F38" i="3" s="1"/>
  <c r="G38" i="3" s="1"/>
  <c r="L38" i="3" s="1"/>
  <c r="B75" i="3"/>
  <c r="A76" i="3"/>
  <c r="D75" i="3"/>
  <c r="B75" i="4"/>
  <c r="I38" i="3"/>
  <c r="C39" i="3" s="1"/>
  <c r="A77" i="3" l="1"/>
  <c r="D76" i="3"/>
  <c r="B76" i="4"/>
  <c r="B76" i="3"/>
  <c r="E39" i="3"/>
  <c r="H39" i="3"/>
  <c r="J39" i="3" s="1"/>
  <c r="F39" i="3" l="1"/>
  <c r="G39" i="3" s="1"/>
  <c r="L39" i="3" s="1"/>
  <c r="B77" i="4"/>
  <c r="A78" i="3"/>
  <c r="D77" i="3"/>
  <c r="B77" i="3"/>
  <c r="A79" i="3" l="1"/>
  <c r="D78" i="3"/>
  <c r="B78" i="4"/>
  <c r="B78" i="3"/>
  <c r="I39" i="3"/>
  <c r="C40" i="3" s="1"/>
  <c r="B79" i="4" l="1"/>
  <c r="B79" i="3"/>
  <c r="D79" i="3"/>
  <c r="A80" i="3"/>
  <c r="H40" i="3"/>
  <c r="J40" i="3" s="1"/>
  <c r="E40" i="3"/>
  <c r="B80" i="4" l="1"/>
  <c r="B80" i="3"/>
  <c r="D80" i="3"/>
  <c r="A81" i="3"/>
  <c r="F40" i="3"/>
  <c r="G40" i="3" s="1"/>
  <c r="L40" i="3" s="1"/>
  <c r="I40" i="3" l="1"/>
  <c r="C41" i="3" s="1"/>
  <c r="H41" i="3" s="1"/>
  <c r="J41" i="3" s="1"/>
  <c r="K41" i="3" s="1"/>
  <c r="B81" i="4"/>
  <c r="A82" i="3"/>
  <c r="B81" i="3"/>
  <c r="D81" i="3"/>
  <c r="E41" i="3" l="1"/>
  <c r="F41" i="3" s="1"/>
  <c r="G41" i="3" s="1"/>
  <c r="L41" i="3" s="1"/>
  <c r="I46" i="1"/>
  <c r="D24" i="2"/>
  <c r="D82" i="3"/>
  <c r="B82" i="4"/>
  <c r="A83" i="3"/>
  <c r="B82" i="3"/>
  <c r="D83" i="3" l="1"/>
  <c r="A84" i="3"/>
  <c r="B83" i="4"/>
  <c r="B83" i="3"/>
  <c r="I41" i="3"/>
  <c r="I50" i="1" s="1"/>
  <c r="I51" i="1" l="1"/>
  <c r="D28" i="2"/>
  <c r="D29" i="2" s="1"/>
  <c r="C42" i="3"/>
  <c r="B84" i="4"/>
  <c r="D84" i="3"/>
  <c r="A85" i="3"/>
  <c r="B84" i="3"/>
  <c r="D85" i="3" l="1"/>
  <c r="A86" i="3"/>
  <c r="B85" i="4"/>
  <c r="B85" i="3"/>
  <c r="D39" i="2"/>
  <c r="D42" i="2" s="1"/>
  <c r="D36" i="2" s="1"/>
  <c r="D35" i="2"/>
  <c r="D34" i="2"/>
  <c r="I56" i="1"/>
  <c r="E42" i="3"/>
  <c r="H42" i="3"/>
  <c r="J42" i="3" s="1"/>
  <c r="D86" i="3" l="1"/>
  <c r="B86" i="3"/>
  <c r="B86" i="4"/>
  <c r="A87" i="3"/>
  <c r="F42" i="3"/>
  <c r="G42" i="3" s="1"/>
  <c r="L42" i="3" s="1"/>
  <c r="I42" i="3" l="1"/>
  <c r="C43" i="3" s="1"/>
  <c r="D87" i="3"/>
  <c r="B87" i="4"/>
  <c r="A88" i="3"/>
  <c r="B87" i="3"/>
  <c r="B88" i="3" l="1"/>
  <c r="B88" i="4"/>
  <c r="D88" i="3"/>
  <c r="A89" i="3"/>
  <c r="E43" i="3"/>
  <c r="H43" i="3"/>
  <c r="J43" i="3" s="1"/>
  <c r="F43" i="3" l="1"/>
  <c r="G43" i="3" s="1"/>
  <c r="L43" i="3" s="1"/>
  <c r="B89" i="4"/>
  <c r="A90" i="3"/>
  <c r="D89" i="3"/>
  <c r="B89" i="3"/>
  <c r="I43" i="3" l="1"/>
  <c r="C44" i="3" s="1"/>
  <c r="E44" i="3" s="1"/>
  <c r="B90" i="3"/>
  <c r="A91" i="3"/>
  <c r="D90" i="3"/>
  <c r="B90" i="4"/>
  <c r="H44" i="3" l="1"/>
  <c r="J44" i="3" s="1"/>
  <c r="D91" i="3"/>
  <c r="B91" i="3"/>
  <c r="B91" i="4"/>
  <c r="A92" i="3"/>
  <c r="F44" i="3"/>
  <c r="G44" i="3" s="1"/>
  <c r="L44" i="3" s="1"/>
  <c r="I44" i="3" l="1"/>
  <c r="C45" i="3" s="1"/>
  <c r="B92" i="4"/>
  <c r="D92" i="3"/>
  <c r="A93" i="3"/>
  <c r="B92" i="3"/>
  <c r="H45" i="3" l="1"/>
  <c r="J45" i="3" s="1"/>
  <c r="E45" i="3"/>
  <c r="D93" i="3"/>
  <c r="A94" i="3"/>
  <c r="B93" i="3"/>
  <c r="B93" i="4"/>
  <c r="D94" i="3" l="1"/>
  <c r="B94" i="3"/>
  <c r="A95" i="3"/>
  <c r="B94" i="4"/>
  <c r="F45" i="3"/>
  <c r="G45" i="3" s="1"/>
  <c r="L45" i="3" s="1"/>
  <c r="I45" i="3" l="1"/>
  <c r="C46" i="3" s="1"/>
  <c r="H46" i="3" s="1"/>
  <c r="J46" i="3" s="1"/>
  <c r="D95" i="3"/>
  <c r="B95" i="4"/>
  <c r="A96" i="3"/>
  <c r="B95" i="3"/>
  <c r="E46" i="3" l="1"/>
  <c r="F46" i="3" s="1"/>
  <c r="G46" i="3" s="1"/>
  <c r="L46" i="3" s="1"/>
  <c r="B96" i="4"/>
  <c r="B96" i="3"/>
  <c r="A97" i="3"/>
  <c r="D96" i="3"/>
  <c r="D97" i="3" l="1"/>
  <c r="B97" i="3"/>
  <c r="A98" i="3"/>
  <c r="B97" i="4"/>
  <c r="I46" i="3"/>
  <c r="C47" i="3" s="1"/>
  <c r="H47" i="3" l="1"/>
  <c r="J47" i="3" s="1"/>
  <c r="E47" i="3"/>
  <c r="B98" i="3"/>
  <c r="D98" i="3"/>
  <c r="A99" i="3"/>
  <c r="B98" i="4"/>
  <c r="F47" i="3" l="1"/>
  <c r="G47" i="3" s="1"/>
  <c r="L47" i="3" s="1"/>
  <c r="B99" i="3"/>
  <c r="A100" i="3"/>
  <c r="D99" i="3"/>
  <c r="B99" i="4"/>
  <c r="I47" i="3" l="1"/>
  <c r="C48" i="3" s="1"/>
  <c r="E48" i="3" s="1"/>
  <c r="A101" i="3"/>
  <c r="D100" i="3"/>
  <c r="B100" i="4"/>
  <c r="B100" i="3"/>
  <c r="H48" i="3" l="1"/>
  <c r="J48" i="3" s="1"/>
  <c r="F48" i="3"/>
  <c r="D101" i="3"/>
  <c r="B101" i="4"/>
  <c r="B101" i="3"/>
  <c r="A102" i="3"/>
  <c r="G48" i="3" l="1"/>
  <c r="L48" i="3" s="1"/>
  <c r="D102" i="3"/>
  <c r="B102" i="3"/>
  <c r="A103" i="3"/>
  <c r="B102" i="4"/>
  <c r="I48" i="3" l="1"/>
  <c r="C49" i="3" s="1"/>
  <c r="H49" i="3" s="1"/>
  <c r="J49" i="3" s="1"/>
  <c r="E49" i="3"/>
  <c r="F49" i="3" s="1"/>
  <c r="G49" i="3" s="1"/>
  <c r="L49" i="3" s="1"/>
  <c r="D103" i="3"/>
  <c r="B103" i="4"/>
  <c r="A104" i="3"/>
  <c r="B103" i="3"/>
  <c r="I49" i="3" l="1"/>
  <c r="C50" i="3" s="1"/>
  <c r="E50" i="3" s="1"/>
  <c r="A105" i="3"/>
  <c r="B104" i="4"/>
  <c r="D104" i="3"/>
  <c r="B104" i="3"/>
  <c r="H50" i="3" l="1"/>
  <c r="J50" i="3" s="1"/>
  <c r="F50" i="3"/>
  <c r="G50" i="3" s="1"/>
  <c r="L50" i="3" s="1"/>
  <c r="B105" i="4"/>
  <c r="A106" i="3"/>
  <c r="B105" i="3"/>
  <c r="D105" i="3"/>
  <c r="I50" i="3" l="1"/>
  <c r="C51" i="3" s="1"/>
  <c r="H51" i="3" s="1"/>
  <c r="J51" i="3" s="1"/>
  <c r="B106" i="4"/>
  <c r="A107" i="3"/>
  <c r="B106" i="3"/>
  <c r="D106" i="3"/>
  <c r="E51" i="3" l="1"/>
  <c r="F51" i="3" s="1"/>
  <c r="G51" i="3" s="1"/>
  <c r="L51" i="3" s="1"/>
  <c r="D107" i="3"/>
  <c r="B107" i="3"/>
  <c r="B107" i="4"/>
  <c r="A108" i="3"/>
  <c r="I51" i="3" l="1"/>
  <c r="C52" i="3" s="1"/>
  <c r="H52" i="3" s="1"/>
  <c r="J52" i="3" s="1"/>
  <c r="B108" i="3"/>
  <c r="D108" i="3"/>
  <c r="B108" i="4"/>
  <c r="A109" i="3"/>
  <c r="E52" i="3" l="1"/>
  <c r="B109" i="3"/>
  <c r="B109" i="4"/>
  <c r="D109" i="3"/>
  <c r="A110" i="3"/>
  <c r="F52" i="3"/>
  <c r="G52" i="3" s="1"/>
  <c r="L52" i="3" s="1"/>
  <c r="I52" i="3" l="1"/>
  <c r="C53" i="3" s="1"/>
  <c r="B110" i="4"/>
  <c r="A111" i="3"/>
  <c r="B110" i="3"/>
  <c r="D110" i="3"/>
  <c r="A112" i="3" l="1"/>
  <c r="B111" i="3"/>
  <c r="B111" i="4"/>
  <c r="D111" i="3"/>
  <c r="E53" i="3"/>
  <c r="H53" i="3"/>
  <c r="J53" i="3" s="1"/>
  <c r="K53" i="3" s="1"/>
  <c r="F53" i="3" l="1"/>
  <c r="G53" i="3" s="1"/>
  <c r="L53" i="3" s="1"/>
  <c r="E24" i="2"/>
  <c r="J46" i="1"/>
  <c r="A113" i="3"/>
  <c r="B112" i="4"/>
  <c r="B112" i="3"/>
  <c r="D112" i="3"/>
  <c r="A114" i="3" l="1"/>
  <c r="D113" i="3"/>
  <c r="B113" i="4"/>
  <c r="B113" i="3"/>
  <c r="I53" i="3"/>
  <c r="J50" i="1" s="1"/>
  <c r="J51" i="1" l="1"/>
  <c r="E28" i="2"/>
  <c r="E29" i="2" s="1"/>
  <c r="C54" i="3"/>
  <c r="B114" i="4"/>
  <c r="D114" i="3"/>
  <c r="B114" i="3"/>
  <c r="A115" i="3"/>
  <c r="E39" i="2" l="1"/>
  <c r="E43" i="2" s="1"/>
  <c r="E36" i="2" s="1"/>
  <c r="E34" i="2"/>
  <c r="E35" i="2"/>
  <c r="J56" i="1"/>
  <c r="A116" i="3"/>
  <c r="B115" i="4"/>
  <c r="D115" i="3"/>
  <c r="B115" i="3"/>
  <c r="H54" i="3"/>
  <c r="J54" i="3" s="1"/>
  <c r="E54" i="3"/>
  <c r="B116" i="4" l="1"/>
  <c r="D116" i="3"/>
  <c r="B116" i="3"/>
  <c r="A117" i="3"/>
  <c r="F54" i="3"/>
  <c r="G54" i="3" s="1"/>
  <c r="L54" i="3" s="1"/>
  <c r="I54" i="3" l="1"/>
  <c r="C55" i="3" s="1"/>
  <c r="E55" i="3" s="1"/>
  <c r="D117" i="3"/>
  <c r="B117" i="3"/>
  <c r="B117" i="4"/>
  <c r="A118" i="3"/>
  <c r="H55" i="3" l="1"/>
  <c r="J55" i="3" s="1"/>
  <c r="B118" i="4"/>
  <c r="B118" i="3"/>
  <c r="A119" i="3"/>
  <c r="D118" i="3"/>
  <c r="F55" i="3"/>
  <c r="G55" i="3" s="1"/>
  <c r="L55" i="3" s="1"/>
  <c r="A120" i="3" l="1"/>
  <c r="D119" i="3"/>
  <c r="B119" i="4"/>
  <c r="B119" i="3"/>
  <c r="I55" i="3"/>
  <c r="C56" i="3" s="1"/>
  <c r="A121" i="3" l="1"/>
  <c r="B120" i="3"/>
  <c r="D120" i="3"/>
  <c r="B120" i="4"/>
  <c r="H56" i="3"/>
  <c r="J56" i="3" s="1"/>
  <c r="E56" i="3"/>
  <c r="F56" i="3" l="1"/>
  <c r="G56" i="3" s="1"/>
  <c r="L56" i="3" s="1"/>
  <c r="D121" i="3"/>
  <c r="A122" i="3"/>
  <c r="B121" i="3"/>
  <c r="B121" i="4"/>
  <c r="I56" i="3" l="1"/>
  <c r="C57" i="3" s="1"/>
  <c r="B122" i="4"/>
  <c r="D122" i="3"/>
  <c r="B122" i="3"/>
  <c r="A123" i="3"/>
  <c r="B123" i="4" l="1"/>
  <c r="D123" i="3"/>
  <c r="B123" i="3"/>
  <c r="A124" i="3"/>
  <c r="E57" i="3"/>
  <c r="H57" i="3"/>
  <c r="J57" i="3" s="1"/>
  <c r="D124" i="3" l="1"/>
  <c r="B124" i="3"/>
  <c r="A125" i="3"/>
  <c r="B124" i="4"/>
  <c r="F57" i="3"/>
  <c r="G57" i="3" s="1"/>
  <c r="L57" i="3" s="1"/>
  <c r="I57" i="3" l="1"/>
  <c r="C58" i="3" s="1"/>
  <c r="A126" i="3"/>
  <c r="B125" i="4"/>
  <c r="B125" i="3"/>
  <c r="D125" i="3"/>
  <c r="B126" i="3" l="1"/>
  <c r="B126" i="4"/>
  <c r="D126" i="3"/>
  <c r="A127" i="3"/>
  <c r="H58" i="3"/>
  <c r="J58" i="3" s="1"/>
  <c r="E58" i="3"/>
  <c r="F58" i="3" l="1"/>
  <c r="G58" i="3" s="1"/>
  <c r="L58" i="3" s="1"/>
  <c r="A128" i="3"/>
  <c r="B127" i="4"/>
  <c r="D127" i="3"/>
  <c r="B127" i="3"/>
  <c r="I58" i="3" l="1"/>
  <c r="C59" i="3" s="1"/>
  <c r="B128" i="4"/>
  <c r="B128" i="3"/>
  <c r="A129" i="3"/>
  <c r="D128" i="3"/>
  <c r="E59" i="3" l="1"/>
  <c r="H59" i="3"/>
  <c r="J59" i="3" s="1"/>
  <c r="D129" i="3"/>
  <c r="B129" i="4"/>
  <c r="B129" i="3"/>
  <c r="A130" i="3"/>
  <c r="F59" i="3" l="1"/>
  <c r="G59" i="3" s="1"/>
  <c r="L59" i="3" s="1"/>
  <c r="B130" i="4"/>
  <c r="A131" i="3"/>
  <c r="B130" i="3"/>
  <c r="D130" i="3"/>
  <c r="I59" i="3" l="1"/>
  <c r="C60" i="3" s="1"/>
  <c r="A132" i="3"/>
  <c r="B131" i="4"/>
  <c r="D131" i="3"/>
  <c r="B131" i="3"/>
  <c r="A133" i="3" l="1"/>
  <c r="B132" i="3"/>
  <c r="D132" i="3"/>
  <c r="B132" i="4"/>
  <c r="E60" i="3"/>
  <c r="H60" i="3"/>
  <c r="J60" i="3" s="1"/>
  <c r="F60" i="3" l="1"/>
  <c r="G60" i="3" s="1"/>
  <c r="L60" i="3" s="1"/>
  <c r="B133" i="3"/>
  <c r="B133" i="4"/>
  <c r="A134" i="3"/>
  <c r="D133" i="3"/>
  <c r="A135" i="3" l="1"/>
  <c r="B134" i="4"/>
  <c r="B134" i="3"/>
  <c r="D134" i="3"/>
  <c r="I60" i="3"/>
  <c r="C61" i="3" s="1"/>
  <c r="D135" i="3" l="1"/>
  <c r="B135" i="4"/>
  <c r="A136" i="3"/>
  <c r="B135" i="3"/>
  <c r="H61" i="3"/>
  <c r="J61" i="3" s="1"/>
  <c r="E61" i="3"/>
  <c r="B136" i="3" l="1"/>
  <c r="D136" i="3"/>
  <c r="B136" i="4"/>
  <c r="A137" i="3"/>
  <c r="F61" i="3"/>
  <c r="G61" i="3" s="1"/>
  <c r="L61" i="3" s="1"/>
  <c r="A138" i="3" l="1"/>
  <c r="B137" i="4"/>
  <c r="D137" i="3"/>
  <c r="B137" i="3"/>
  <c r="I61" i="3"/>
  <c r="C62" i="3" s="1"/>
  <c r="B138" i="3" l="1"/>
  <c r="B138" i="4"/>
  <c r="D138" i="3"/>
  <c r="A139" i="3"/>
  <c r="H62" i="3"/>
  <c r="J62" i="3" s="1"/>
  <c r="E62" i="3"/>
  <c r="B139" i="4" l="1"/>
  <c r="B139" i="3"/>
  <c r="D139" i="3"/>
  <c r="A140" i="3"/>
  <c r="F62" i="3"/>
  <c r="G62" i="3" s="1"/>
  <c r="L62" i="3" s="1"/>
  <c r="B140" i="4" l="1"/>
  <c r="D140" i="3"/>
  <c r="B140" i="3"/>
  <c r="A141" i="3"/>
  <c r="I62" i="3"/>
  <c r="C63" i="3" s="1"/>
  <c r="B141" i="3" l="1"/>
  <c r="D141" i="3"/>
  <c r="A142" i="3"/>
  <c r="B141" i="4"/>
  <c r="E63" i="3"/>
  <c r="H63" i="3"/>
  <c r="J63" i="3" s="1"/>
  <c r="B142" i="4" l="1"/>
  <c r="A143" i="3"/>
  <c r="D142" i="3"/>
  <c r="B142" i="3"/>
  <c r="F63" i="3"/>
  <c r="G63" i="3" s="1"/>
  <c r="L63" i="3" s="1"/>
  <c r="I63" i="3" l="1"/>
  <c r="C64" i="3" s="1"/>
  <c r="B143" i="3"/>
  <c r="A144" i="3"/>
  <c r="B143" i="4"/>
  <c r="D143" i="3"/>
  <c r="B144" i="3" l="1"/>
  <c r="B144" i="4"/>
  <c r="D144" i="3"/>
  <c r="A145" i="3"/>
  <c r="E64" i="3"/>
  <c r="H64" i="3"/>
  <c r="J64" i="3" s="1"/>
  <c r="F64" i="3" l="1"/>
  <c r="G64" i="3" s="1"/>
  <c r="L64" i="3" s="1"/>
  <c r="D145" i="3"/>
  <c r="A146" i="3"/>
  <c r="B145" i="4"/>
  <c r="B145" i="3"/>
  <c r="I64" i="3" l="1"/>
  <c r="C65" i="3" s="1"/>
  <c r="D146" i="3"/>
  <c r="A147" i="3"/>
  <c r="B146" i="4"/>
  <c r="B146" i="3"/>
  <c r="B147" i="4" l="1"/>
  <c r="B147" i="3"/>
  <c r="D147" i="3"/>
  <c r="A148" i="3"/>
  <c r="H65" i="3"/>
  <c r="J65" i="3" s="1"/>
  <c r="K65" i="3" s="1"/>
  <c r="E65" i="3"/>
  <c r="F24" i="2" l="1"/>
  <c r="K46" i="1"/>
  <c r="F65" i="3"/>
  <c r="G65" i="3" s="1"/>
  <c r="L65" i="3" s="1"/>
  <c r="B148" i="4"/>
  <c r="D148" i="3"/>
  <c r="B148" i="3"/>
  <c r="A149" i="3"/>
  <c r="B149" i="3" l="1"/>
  <c r="B149" i="4"/>
  <c r="D149" i="3"/>
  <c r="A150" i="3"/>
  <c r="I65" i="3"/>
  <c r="K50" i="1" s="1"/>
  <c r="D150" i="3" l="1"/>
  <c r="A151" i="3"/>
  <c r="B150" i="3"/>
  <c r="B150" i="4"/>
  <c r="K51" i="1"/>
  <c r="F28" i="2"/>
  <c r="F29" i="2" s="1"/>
  <c r="C66" i="3"/>
  <c r="K56" i="1" l="1"/>
  <c r="D151" i="3"/>
  <c r="A152" i="3"/>
  <c r="B151" i="4"/>
  <c r="B151" i="3"/>
  <c r="F39" i="2"/>
  <c r="F44" i="2" s="1"/>
  <c r="F36" i="2" s="1"/>
  <c r="F35" i="2"/>
  <c r="F34" i="2"/>
  <c r="H66" i="3"/>
  <c r="J66" i="3" s="1"/>
  <c r="E66" i="3"/>
  <c r="B152" i="3" l="1"/>
  <c r="A153" i="3"/>
  <c r="D152" i="3"/>
  <c r="B152" i="4"/>
  <c r="F66" i="3"/>
  <c r="G66" i="3" s="1"/>
  <c r="L66" i="3" s="1"/>
  <c r="I66" i="3" l="1"/>
  <c r="C67" i="3" s="1"/>
  <c r="H67" i="3" s="1"/>
  <c r="J67" i="3" s="1"/>
  <c r="D153" i="3"/>
  <c r="B153" i="4"/>
  <c r="A154" i="3"/>
  <c r="B153" i="3"/>
  <c r="E67" i="3" l="1"/>
  <c r="F67" i="3" s="1"/>
  <c r="G67" i="3" s="1"/>
  <c r="L67" i="3" s="1"/>
  <c r="B154" i="3"/>
  <c r="A155" i="3"/>
  <c r="D154" i="3"/>
  <c r="B154" i="4"/>
  <c r="I67" i="3" l="1"/>
  <c r="C68" i="3" s="1"/>
  <c r="E68" i="3" s="1"/>
  <c r="D155" i="3"/>
  <c r="A156" i="3"/>
  <c r="B155" i="4"/>
  <c r="B155" i="3"/>
  <c r="H68" i="3" l="1"/>
  <c r="J68" i="3" s="1"/>
  <c r="A157" i="3"/>
  <c r="B156" i="4"/>
  <c r="B156" i="3"/>
  <c r="D156" i="3"/>
  <c r="F68" i="3"/>
  <c r="G68" i="3" s="1"/>
  <c r="L68" i="3" s="1"/>
  <c r="A158" i="3" l="1"/>
  <c r="D157" i="3"/>
  <c r="B157" i="3"/>
  <c r="B157" i="4"/>
  <c r="I68" i="3"/>
  <c r="C69" i="3" s="1"/>
  <c r="B158" i="3" l="1"/>
  <c r="D158" i="3"/>
  <c r="A159" i="3"/>
  <c r="B158" i="4"/>
  <c r="E69" i="3"/>
  <c r="H69" i="3"/>
  <c r="J69" i="3" s="1"/>
  <c r="A160" i="3" l="1"/>
  <c r="B159" i="3"/>
  <c r="D159" i="3"/>
  <c r="B159" i="4"/>
  <c r="F69" i="3"/>
  <c r="G69" i="3" s="1"/>
  <c r="L69" i="3" s="1"/>
  <c r="I69" i="3" l="1"/>
  <c r="C70" i="3" s="1"/>
  <c r="E70" i="3" s="1"/>
  <c r="D160" i="3"/>
  <c r="B160" i="4"/>
  <c r="A161" i="3"/>
  <c r="B160" i="3"/>
  <c r="H70" i="3" l="1"/>
  <c r="J70" i="3" s="1"/>
  <c r="B161" i="4"/>
  <c r="A162" i="3"/>
  <c r="B161" i="3"/>
  <c r="D161" i="3"/>
  <c r="F70" i="3"/>
  <c r="G70" i="3" s="1"/>
  <c r="L70" i="3" s="1"/>
  <c r="I70" i="3" l="1"/>
  <c r="C71" i="3" s="1"/>
  <c r="H71" i="3" s="1"/>
  <c r="J71" i="3" s="1"/>
  <c r="B162" i="4"/>
  <c r="B162" i="3"/>
  <c r="D162" i="3"/>
  <c r="A163" i="3"/>
  <c r="E71" i="3"/>
  <c r="F71" i="3" l="1"/>
  <c r="G71" i="3" s="1"/>
  <c r="L71" i="3" s="1"/>
  <c r="D163" i="3"/>
  <c r="A164" i="3"/>
  <c r="B163" i="3"/>
  <c r="B163" i="4"/>
  <c r="I71" i="3" l="1"/>
  <c r="C72" i="3" s="1"/>
  <c r="E72" i="3" s="1"/>
  <c r="B164" i="3"/>
  <c r="B164" i="4"/>
  <c r="D164" i="3"/>
  <c r="A165" i="3"/>
  <c r="H72" i="3" l="1"/>
  <c r="J72" i="3" s="1"/>
  <c r="F72" i="3"/>
  <c r="B165" i="3"/>
  <c r="D165" i="3"/>
  <c r="B165" i="4"/>
  <c r="A166" i="3"/>
  <c r="G72" i="3" l="1"/>
  <c r="L72" i="3" s="1"/>
  <c r="I72" i="3"/>
  <c r="C73" i="3" s="1"/>
  <c r="H73" i="3" s="1"/>
  <c r="J73" i="3" s="1"/>
  <c r="B166" i="4"/>
  <c r="D166" i="3"/>
  <c r="A167" i="3"/>
  <c r="B166" i="3"/>
  <c r="E73" i="3" l="1"/>
  <c r="F73" i="3" s="1"/>
  <c r="G73" i="3" s="1"/>
  <c r="L73" i="3" s="1"/>
  <c r="D167" i="3"/>
  <c r="B167" i="3"/>
  <c r="B167" i="4"/>
  <c r="A168" i="3"/>
  <c r="I73" i="3" l="1"/>
  <c r="C74" i="3" s="1"/>
  <c r="B168" i="3"/>
  <c r="D168" i="3"/>
  <c r="A169" i="3"/>
  <c r="B168" i="4"/>
  <c r="E74" i="3" l="1"/>
  <c r="H74" i="3"/>
  <c r="J74" i="3" s="1"/>
  <c r="A170" i="3"/>
  <c r="B169" i="4"/>
  <c r="D169" i="3"/>
  <c r="B169" i="3"/>
  <c r="F74" i="3" l="1"/>
  <c r="G74" i="3" s="1"/>
  <c r="L74" i="3" s="1"/>
  <c r="A171" i="3"/>
  <c r="D170" i="3"/>
  <c r="B170" i="4"/>
  <c r="B170" i="3"/>
  <c r="B171" i="3" l="1"/>
  <c r="A172" i="3"/>
  <c r="B171" i="4"/>
  <c r="D171" i="3"/>
  <c r="I74" i="3"/>
  <c r="C75" i="3" s="1"/>
  <c r="B172" i="4" l="1"/>
  <c r="D172" i="3"/>
  <c r="A173" i="3"/>
  <c r="B172" i="3"/>
  <c r="H75" i="3"/>
  <c r="J75" i="3" s="1"/>
  <c r="E75" i="3"/>
  <c r="F75" i="3" l="1"/>
  <c r="G75" i="3" s="1"/>
  <c r="L75" i="3" s="1"/>
  <c r="D173" i="3"/>
  <c r="B173" i="4"/>
  <c r="A174" i="3"/>
  <c r="B173" i="3"/>
  <c r="I75" i="3" l="1"/>
  <c r="C76" i="3" s="1"/>
  <c r="H76" i="3" s="1"/>
  <c r="J76" i="3" s="1"/>
  <c r="B174" i="4"/>
  <c r="A175" i="3"/>
  <c r="D174" i="3"/>
  <c r="B174" i="3"/>
  <c r="E76" i="3" l="1"/>
  <c r="F76" i="3" s="1"/>
  <c r="G76" i="3" s="1"/>
  <c r="L76" i="3" s="1"/>
  <c r="B175" i="4"/>
  <c r="A176" i="3"/>
  <c r="B175" i="3"/>
  <c r="D175" i="3"/>
  <c r="I76" i="3" l="1"/>
  <c r="C77" i="3" s="1"/>
  <c r="H77" i="3" s="1"/>
  <c r="J77" i="3" s="1"/>
  <c r="K77" i="3" s="1"/>
  <c r="A177" i="3"/>
  <c r="B176" i="3"/>
  <c r="B176" i="4"/>
  <c r="D176" i="3"/>
  <c r="E77" i="3" l="1"/>
  <c r="F77" i="3" s="1"/>
  <c r="G77" i="3" s="1"/>
  <c r="L77" i="3" s="1"/>
  <c r="L46" i="1"/>
  <c r="G24" i="2"/>
  <c r="B177" i="4"/>
  <c r="B177" i="3"/>
  <c r="A178" i="3"/>
  <c r="D177" i="3"/>
  <c r="I77" i="3" l="1"/>
  <c r="L50" i="1" s="1"/>
  <c r="A179" i="3"/>
  <c r="B178" i="4"/>
  <c r="D178" i="3"/>
  <c r="B178" i="3"/>
  <c r="L51" i="1" l="1"/>
  <c r="G28" i="2"/>
  <c r="G29" i="2" s="1"/>
  <c r="C78" i="3"/>
  <c r="A180" i="3"/>
  <c r="D179" i="3"/>
  <c r="B179" i="4"/>
  <c r="B179" i="3"/>
  <c r="A181" i="3" l="1"/>
  <c r="B180" i="3"/>
  <c r="D180" i="3"/>
  <c r="B180" i="4"/>
  <c r="G39" i="2"/>
  <c r="G45" i="2" s="1"/>
  <c r="G36" i="2" s="1"/>
  <c r="G35" i="2"/>
  <c r="G34" i="2"/>
  <c r="H78" i="3"/>
  <c r="J78" i="3" s="1"/>
  <c r="E78" i="3"/>
  <c r="L56" i="1"/>
  <c r="F78" i="3" l="1"/>
  <c r="G78" i="3" s="1"/>
  <c r="L78" i="3" s="1"/>
  <c r="B181" i="3"/>
  <c r="D181" i="3"/>
  <c r="A182" i="3"/>
  <c r="B181" i="4"/>
  <c r="I78" i="3" l="1"/>
  <c r="C79" i="3" s="1"/>
  <c r="H79" i="3" s="1"/>
  <c r="J79" i="3" s="1"/>
  <c r="A183" i="3"/>
  <c r="B182" i="4"/>
  <c r="D182" i="3"/>
  <c r="B182" i="3"/>
  <c r="E79" i="3" l="1"/>
  <c r="B183" i="3"/>
  <c r="B183" i="4"/>
  <c r="A184" i="3"/>
  <c r="D183" i="3"/>
  <c r="F79" i="3"/>
  <c r="G79" i="3" s="1"/>
  <c r="L79" i="3" s="1"/>
  <c r="I79" i="3" l="1"/>
  <c r="C80" i="3" s="1"/>
  <c r="B184" i="3"/>
  <c r="B184" i="4"/>
  <c r="A185" i="3"/>
  <c r="D184" i="3"/>
  <c r="E80" i="3"/>
  <c r="H80" i="3"/>
  <c r="J80" i="3" s="1"/>
  <c r="F80" i="3" l="1"/>
  <c r="G80" i="3" s="1"/>
  <c r="L80" i="3" s="1"/>
  <c r="D185" i="3"/>
  <c r="A186" i="3"/>
  <c r="B185" i="3"/>
  <c r="B185" i="4"/>
  <c r="B186" i="3" l="1"/>
  <c r="A187" i="3"/>
  <c r="B186" i="4"/>
  <c r="D186" i="3"/>
  <c r="I80" i="3"/>
  <c r="C81" i="3" s="1"/>
  <c r="H81" i="3" l="1"/>
  <c r="J81" i="3" s="1"/>
  <c r="E81" i="3"/>
  <c r="A188" i="3"/>
  <c r="D187" i="3"/>
  <c r="B187" i="3"/>
  <c r="B187" i="4"/>
  <c r="B188" i="3" l="1"/>
  <c r="D188" i="3"/>
  <c r="A189" i="3"/>
  <c r="B188" i="4"/>
  <c r="F81" i="3"/>
  <c r="G81" i="3" s="1"/>
  <c r="L81" i="3" s="1"/>
  <c r="I81" i="3" l="1"/>
  <c r="C82" i="3" s="1"/>
  <c r="H82" i="3" s="1"/>
  <c r="J82" i="3" s="1"/>
  <c r="D189" i="3"/>
  <c r="A190" i="3"/>
  <c r="B189" i="4"/>
  <c r="B189" i="3"/>
  <c r="E82" i="3" l="1"/>
  <c r="F82" i="3" s="1"/>
  <c r="G82" i="3" s="1"/>
  <c r="L82" i="3" s="1"/>
  <c r="B190" i="3"/>
  <c r="B190" i="4"/>
  <c r="A191" i="3"/>
  <c r="D190" i="3"/>
  <c r="I82" i="3" l="1"/>
  <c r="C83" i="3" s="1"/>
  <c r="H83" i="3" s="1"/>
  <c r="J83" i="3" s="1"/>
  <c r="D191" i="3"/>
  <c r="A192" i="3"/>
  <c r="B191" i="4"/>
  <c r="B191" i="3"/>
  <c r="E83" i="3" l="1"/>
  <c r="F83" i="3" s="1"/>
  <c r="G83" i="3" s="1"/>
  <c r="L83" i="3" s="1"/>
  <c r="A193" i="3"/>
  <c r="B192" i="4"/>
  <c r="B192" i="3"/>
  <c r="D192" i="3"/>
  <c r="I83" i="3" l="1"/>
  <c r="C84" i="3" s="1"/>
  <c r="H84" i="3" s="1"/>
  <c r="J84" i="3" s="1"/>
  <c r="A194" i="3"/>
  <c r="B193" i="4"/>
  <c r="D193" i="3"/>
  <c r="B193" i="3"/>
  <c r="E84" i="3" l="1"/>
  <c r="F84" i="3" s="1"/>
  <c r="G84" i="3" s="1"/>
  <c r="L84" i="3" s="1"/>
  <c r="A195" i="3"/>
  <c r="B194" i="4"/>
  <c r="B194" i="3"/>
  <c r="D194" i="3"/>
  <c r="B195" i="4" l="1"/>
  <c r="D195" i="3"/>
  <c r="A196" i="3"/>
  <c r="B195" i="3"/>
  <c r="I84" i="3"/>
  <c r="C85" i="3" s="1"/>
  <c r="H85" i="3" l="1"/>
  <c r="J85" i="3" s="1"/>
  <c r="E85" i="3"/>
  <c r="A197" i="3"/>
  <c r="D196" i="3"/>
  <c r="B196" i="4"/>
  <c r="B196" i="3"/>
  <c r="B197" i="3" l="1"/>
  <c r="D197" i="3"/>
  <c r="A198" i="3"/>
  <c r="B197" i="4"/>
  <c r="F85" i="3"/>
  <c r="G85" i="3" s="1"/>
  <c r="L85" i="3" s="1"/>
  <c r="I85" i="3" l="1"/>
  <c r="C86" i="3" s="1"/>
  <c r="E86" i="3" s="1"/>
  <c r="B198" i="3"/>
  <c r="D198" i="3"/>
  <c r="A199" i="3"/>
  <c r="B198" i="4"/>
  <c r="H86" i="3" l="1"/>
  <c r="J86" i="3" s="1"/>
  <c r="F86" i="3"/>
  <c r="B199" i="3"/>
  <c r="A200" i="3"/>
  <c r="B199" i="4"/>
  <c r="D199" i="3"/>
  <c r="G86" i="3" l="1"/>
  <c r="L86" i="3" s="1"/>
  <c r="B200" i="3"/>
  <c r="D200" i="3"/>
  <c r="A201" i="3"/>
  <c r="B200" i="4"/>
  <c r="I86" i="3" l="1"/>
  <c r="C87" i="3" s="1"/>
  <c r="H87" i="3" s="1"/>
  <c r="J87" i="3" s="1"/>
  <c r="B201" i="3"/>
  <c r="D201" i="3"/>
  <c r="B201" i="4"/>
  <c r="A202" i="3"/>
  <c r="E87" i="3" l="1"/>
  <c r="F87" i="3"/>
  <c r="G87" i="3" s="1"/>
  <c r="L87" i="3" s="1"/>
  <c r="D202" i="3"/>
  <c r="B202" i="3"/>
  <c r="B202" i="4"/>
  <c r="A203" i="3"/>
  <c r="I87" i="3" l="1"/>
  <c r="C88" i="3" s="1"/>
  <c r="H88" i="3" s="1"/>
  <c r="J88" i="3" s="1"/>
  <c r="D203" i="3"/>
  <c r="A204" i="3"/>
  <c r="B203" i="3"/>
  <c r="B203" i="4"/>
  <c r="E88" i="3" l="1"/>
  <c r="F88" i="3" s="1"/>
  <c r="G88" i="3" s="1"/>
  <c r="L88" i="3" s="1"/>
  <c r="B204" i="4"/>
  <c r="B204" i="3"/>
  <c r="D204" i="3"/>
  <c r="A205" i="3"/>
  <c r="I88" i="3" l="1"/>
  <c r="C89" i="3" s="1"/>
  <c r="E89" i="3" s="1"/>
  <c r="B205" i="4"/>
  <c r="A206" i="3"/>
  <c r="B205" i="3"/>
  <c r="D205" i="3"/>
  <c r="H89" i="3"/>
  <c r="J89" i="3" s="1"/>
  <c r="K89" i="3" s="1"/>
  <c r="H24" i="2" s="1"/>
  <c r="A207" i="3" l="1"/>
  <c r="B206" i="4"/>
  <c r="B206" i="3"/>
  <c r="D206" i="3"/>
  <c r="F89" i="3"/>
  <c r="G89" i="3" s="1"/>
  <c r="L89" i="3" s="1"/>
  <c r="I89" i="3" l="1"/>
  <c r="A208" i="3"/>
  <c r="B207" i="3"/>
  <c r="D207" i="3"/>
  <c r="B207" i="4"/>
  <c r="H28" i="2" l="1"/>
  <c r="H29" i="2" s="1"/>
  <c r="C90" i="3"/>
  <c r="A209" i="3"/>
  <c r="D208" i="3"/>
  <c r="B208" i="3"/>
  <c r="B208" i="4"/>
  <c r="H90" i="3" l="1"/>
  <c r="J90" i="3" s="1"/>
  <c r="E90" i="3"/>
  <c r="D209" i="3"/>
  <c r="A210" i="3"/>
  <c r="B209" i="4"/>
  <c r="B209" i="3"/>
  <c r="H35" i="2"/>
  <c r="H34" i="2"/>
  <c r="F90" i="3" l="1"/>
  <c r="G90" i="3" s="1"/>
  <c r="L90" i="3" s="1"/>
  <c r="D210" i="3"/>
  <c r="B210" i="3"/>
  <c r="A211" i="3"/>
  <c r="B210" i="4"/>
  <c r="I90" i="3" l="1"/>
  <c r="C91" i="3" s="1"/>
  <c r="H91" i="3" s="1"/>
  <c r="J91" i="3" s="1"/>
  <c r="B211" i="3"/>
  <c r="B211" i="4"/>
  <c r="A212" i="3"/>
  <c r="D211" i="3"/>
  <c r="E91" i="3" l="1"/>
  <c r="B212" i="4"/>
  <c r="B212" i="3"/>
  <c r="A213" i="3"/>
  <c r="D212" i="3"/>
  <c r="F91" i="3"/>
  <c r="G91" i="3" s="1"/>
  <c r="L91" i="3" s="1"/>
  <c r="I91" i="3" l="1"/>
  <c r="C92" i="3" s="1"/>
  <c r="H92" i="3" s="1"/>
  <c r="J92" i="3" s="1"/>
  <c r="B213" i="4"/>
  <c r="D213" i="3"/>
  <c r="B213" i="3"/>
  <c r="A214" i="3"/>
  <c r="E92" i="3" l="1"/>
  <c r="F92" i="3" s="1"/>
  <c r="G92" i="3" s="1"/>
  <c r="L92" i="3" s="1"/>
  <c r="B214" i="4"/>
  <c r="D214" i="3"/>
  <c r="B214" i="3"/>
  <c r="A215" i="3"/>
  <c r="I92" i="3" l="1"/>
  <c r="C93" i="3" s="1"/>
  <c r="B215" i="4"/>
  <c r="B215" i="3"/>
  <c r="A216" i="3"/>
  <c r="D215" i="3"/>
  <c r="H93" i="3"/>
  <c r="J93" i="3" s="1"/>
  <c r="E93" i="3"/>
  <c r="A217" i="3" l="1"/>
  <c r="D216" i="3"/>
  <c r="B216" i="4"/>
  <c r="B216" i="3"/>
  <c r="F93" i="3"/>
  <c r="G93" i="3" s="1"/>
  <c r="L93" i="3" s="1"/>
  <c r="I93" i="3" l="1"/>
  <c r="C94" i="3" s="1"/>
  <c r="E94" i="3" s="1"/>
  <c r="A218" i="3"/>
  <c r="D217" i="3"/>
  <c r="B217" i="4"/>
  <c r="B217" i="3"/>
  <c r="H94" i="3" l="1"/>
  <c r="J94" i="3" s="1"/>
  <c r="F94" i="3"/>
  <c r="D218" i="3"/>
  <c r="B218" i="3"/>
  <c r="A219" i="3"/>
  <c r="B218" i="4"/>
  <c r="G94" i="3" l="1"/>
  <c r="L94" i="3" s="1"/>
  <c r="D219" i="3"/>
  <c r="B219" i="3"/>
  <c r="A220" i="3"/>
  <c r="B219" i="4"/>
  <c r="I94" i="3"/>
  <c r="C95" i="3" s="1"/>
  <c r="B220" i="4" l="1"/>
  <c r="D220" i="3"/>
  <c r="A221" i="3"/>
  <c r="B220" i="3"/>
  <c r="H95" i="3"/>
  <c r="J95" i="3" s="1"/>
  <c r="E95" i="3"/>
  <c r="B221" i="3" l="1"/>
  <c r="B221" i="4"/>
  <c r="D221" i="3"/>
  <c r="A222" i="3"/>
  <c r="F95" i="3"/>
  <c r="G95" i="3" s="1"/>
  <c r="L95" i="3" s="1"/>
  <c r="I95" i="3" l="1"/>
  <c r="C96" i="3" s="1"/>
  <c r="E96" i="3" s="1"/>
  <c r="A223" i="3"/>
  <c r="B222" i="4"/>
  <c r="D222" i="3"/>
  <c r="B222" i="3"/>
  <c r="H96" i="3" l="1"/>
  <c r="J96" i="3" s="1"/>
  <c r="F96" i="3"/>
  <c r="A224" i="3"/>
  <c r="D223" i="3"/>
  <c r="B223" i="3"/>
  <c r="B223" i="4"/>
  <c r="G96" i="3" l="1"/>
  <c r="L96" i="3" s="1"/>
  <c r="I96" i="3"/>
  <c r="C97" i="3" s="1"/>
  <c r="E97" i="3" s="1"/>
  <c r="A225" i="3"/>
  <c r="D224" i="3"/>
  <c r="B224" i="3"/>
  <c r="B224" i="4"/>
  <c r="H97" i="3" l="1"/>
  <c r="J97" i="3" s="1"/>
  <c r="F97" i="3"/>
  <c r="B225" i="4"/>
  <c r="A226" i="3"/>
  <c r="B225" i="3"/>
  <c r="D225" i="3"/>
  <c r="G97" i="3" l="1"/>
  <c r="L97" i="3" s="1"/>
  <c r="D226" i="3"/>
  <c r="B226" i="4"/>
  <c r="A227" i="3"/>
  <c r="B226" i="3"/>
  <c r="I97" i="3"/>
  <c r="C98" i="3" s="1"/>
  <c r="H98" i="3" l="1"/>
  <c r="J98" i="3" s="1"/>
  <c r="E98" i="3"/>
  <c r="B227" i="3"/>
  <c r="D227" i="3"/>
  <c r="B227" i="4"/>
  <c r="A228" i="3"/>
  <c r="A229" i="3" l="1"/>
  <c r="B228" i="3"/>
  <c r="D228" i="3"/>
  <c r="B228" i="4"/>
  <c r="F98" i="3"/>
  <c r="G98" i="3" s="1"/>
  <c r="L98" i="3" s="1"/>
  <c r="I98" i="3" l="1"/>
  <c r="C99" i="3" s="1"/>
  <c r="B229" i="4"/>
  <c r="A230" i="3"/>
  <c r="D229" i="3"/>
  <c r="B229" i="3"/>
  <c r="H99" i="3"/>
  <c r="J99" i="3" s="1"/>
  <c r="E99" i="3"/>
  <c r="F99" i="3" l="1"/>
  <c r="G99" i="3" s="1"/>
  <c r="L99" i="3" s="1"/>
  <c r="B230" i="3"/>
  <c r="A231" i="3"/>
  <c r="B230" i="4"/>
  <c r="D230" i="3"/>
  <c r="I99" i="3" l="1"/>
  <c r="C100" i="3" s="1"/>
  <c r="H100" i="3" s="1"/>
  <c r="J100" i="3" s="1"/>
  <c r="A232" i="3"/>
  <c r="B231" i="3"/>
  <c r="B231" i="4"/>
  <c r="D231" i="3"/>
  <c r="E100" i="3" l="1"/>
  <c r="B232" i="3"/>
  <c r="B232" i="4"/>
  <c r="A233" i="3"/>
  <c r="D232" i="3"/>
  <c r="F100" i="3"/>
  <c r="G100" i="3" s="1"/>
  <c r="L100" i="3" s="1"/>
  <c r="I100" i="3" l="1"/>
  <c r="C101" i="3" s="1"/>
  <c r="E101" i="3" s="1"/>
  <c r="B233" i="3"/>
  <c r="A234" i="3"/>
  <c r="D233" i="3"/>
  <c r="B233" i="4"/>
  <c r="H101" i="3" l="1"/>
  <c r="J101" i="3" s="1"/>
  <c r="K101" i="3" s="1"/>
  <c r="I24" i="2" s="1"/>
  <c r="F101" i="3"/>
  <c r="B234" i="3"/>
  <c r="B234" i="4"/>
  <c r="A235" i="3"/>
  <c r="D234" i="3"/>
  <c r="G101" i="3" l="1"/>
  <c r="L101" i="3" s="1"/>
  <c r="B235" i="4"/>
  <c r="B235" i="3"/>
  <c r="A236" i="3"/>
  <c r="D235" i="3"/>
  <c r="I101" i="3" l="1"/>
  <c r="B236" i="4"/>
  <c r="A237" i="3"/>
  <c r="B236" i="3"/>
  <c r="D236" i="3"/>
  <c r="I28" i="2" l="1"/>
  <c r="I29" i="2" s="1"/>
  <c r="C102" i="3"/>
  <c r="B237" i="3"/>
  <c r="D237" i="3"/>
  <c r="B237" i="4"/>
  <c r="A238" i="3"/>
  <c r="H102" i="3" l="1"/>
  <c r="J102" i="3" s="1"/>
  <c r="E102" i="3"/>
  <c r="F102" i="3" s="1"/>
  <c r="G102" i="3" s="1"/>
  <c r="L102" i="3" s="1"/>
  <c r="I34" i="2"/>
  <c r="I39" i="2"/>
  <c r="I47" i="2" s="1"/>
  <c r="I36" i="2" s="1"/>
  <c r="I35" i="2"/>
  <c r="B238" i="4"/>
  <c r="A239" i="3"/>
  <c r="D238" i="3"/>
  <c r="B238" i="3"/>
  <c r="I102" i="3"/>
  <c r="C103" i="3" s="1"/>
  <c r="B239" i="3" l="1"/>
  <c r="A240" i="3"/>
  <c r="D239" i="3"/>
  <c r="B239" i="4"/>
  <c r="H103" i="3"/>
  <c r="J103" i="3" s="1"/>
  <c r="E103" i="3"/>
  <c r="D240" i="3" l="1"/>
  <c r="A241" i="3"/>
  <c r="B240" i="4"/>
  <c r="B240" i="3"/>
  <c r="F103" i="3"/>
  <c r="G103" i="3" s="1"/>
  <c r="L103" i="3" s="1"/>
  <c r="A242" i="3" l="1"/>
  <c r="B241" i="4"/>
  <c r="D241" i="3"/>
  <c r="B241" i="3"/>
  <c r="I103" i="3"/>
  <c r="C104" i="3" s="1"/>
  <c r="H104" i="3" l="1"/>
  <c r="J104" i="3" s="1"/>
  <c r="E104" i="3"/>
  <c r="B242" i="4"/>
  <c r="D242" i="3"/>
  <c r="B242" i="3"/>
  <c r="A243" i="3"/>
  <c r="F104" i="3" l="1"/>
  <c r="G104" i="3" s="1"/>
  <c r="L104" i="3" s="1"/>
  <c r="B243" i="4"/>
  <c r="B243" i="3"/>
  <c r="A244" i="3"/>
  <c r="D243" i="3"/>
  <c r="B244" i="4" l="1"/>
  <c r="A245" i="3"/>
  <c r="D244" i="3"/>
  <c r="B244" i="3"/>
  <c r="I104" i="3"/>
  <c r="C105" i="3" s="1"/>
  <c r="H105" i="3" l="1"/>
  <c r="J105" i="3" s="1"/>
  <c r="E105" i="3"/>
  <c r="B245" i="4"/>
  <c r="D245" i="3"/>
  <c r="A246" i="3"/>
  <c r="B245" i="3"/>
  <c r="F105" i="3" l="1"/>
  <c r="G105" i="3" s="1"/>
  <c r="L105" i="3" s="1"/>
  <c r="B246" i="4"/>
  <c r="B246" i="3"/>
  <c r="A247" i="3"/>
  <c r="D246" i="3"/>
  <c r="B247" i="3" l="1"/>
  <c r="A248" i="3"/>
  <c r="D247" i="3"/>
  <c r="B247" i="4"/>
  <c r="I105" i="3"/>
  <c r="C106" i="3" s="1"/>
  <c r="B248" i="4" l="1"/>
  <c r="B248" i="3"/>
  <c r="D248" i="3"/>
  <c r="A249" i="3"/>
  <c r="H106" i="3"/>
  <c r="J106" i="3" s="1"/>
  <c r="E106" i="3"/>
  <c r="B249" i="3" l="1"/>
  <c r="D249" i="3"/>
  <c r="A250" i="3"/>
  <c r="B249" i="4"/>
  <c r="F106" i="3"/>
  <c r="G106" i="3" s="1"/>
  <c r="L106" i="3" s="1"/>
  <c r="I106" i="3" l="1"/>
  <c r="C107" i="3" s="1"/>
  <c r="H107" i="3" s="1"/>
  <c r="J107" i="3" s="1"/>
  <c r="B250" i="4"/>
  <c r="B250" i="3"/>
  <c r="D250" i="3"/>
  <c r="A251" i="3"/>
  <c r="E107" i="3" l="1"/>
  <c r="F107" i="3" s="1"/>
  <c r="G107" i="3" s="1"/>
  <c r="L107" i="3" s="1"/>
  <c r="A252" i="3"/>
  <c r="D251" i="3"/>
  <c r="B251" i="4"/>
  <c r="B251" i="3"/>
  <c r="I107" i="3" l="1"/>
  <c r="C108" i="3" s="1"/>
  <c r="B252" i="3"/>
  <c r="B252" i="4"/>
  <c r="A253" i="3"/>
  <c r="D252" i="3"/>
  <c r="B253" i="4" l="1"/>
  <c r="B253" i="3"/>
  <c r="D253" i="3"/>
  <c r="A254" i="3"/>
  <c r="H108" i="3"/>
  <c r="J108" i="3" s="1"/>
  <c r="E108" i="3"/>
  <c r="F108" i="3" l="1"/>
  <c r="G108" i="3" s="1"/>
  <c r="L108" i="3" s="1"/>
  <c r="B254" i="3"/>
  <c r="D254" i="3"/>
  <c r="B254" i="4"/>
  <c r="A255" i="3"/>
  <c r="I108" i="3" l="1"/>
  <c r="C109" i="3" s="1"/>
  <c r="A256" i="3"/>
  <c r="B255" i="4"/>
  <c r="B255" i="3"/>
  <c r="D255" i="3"/>
  <c r="B256" i="3" l="1"/>
  <c r="A257" i="3"/>
  <c r="B256" i="4"/>
  <c r="D256" i="3"/>
  <c r="H109" i="3"/>
  <c r="J109" i="3" s="1"/>
  <c r="E109" i="3"/>
  <c r="B257" i="3" l="1"/>
  <c r="D257" i="3"/>
  <c r="A258" i="3"/>
  <c r="B257" i="4"/>
  <c r="F109" i="3"/>
  <c r="G109" i="3" s="1"/>
  <c r="L109" i="3" s="1"/>
  <c r="I109" i="3" l="1"/>
  <c r="C110" i="3" s="1"/>
  <c r="H110" i="3" s="1"/>
  <c r="J110" i="3" s="1"/>
  <c r="D258" i="3"/>
  <c r="A259" i="3"/>
  <c r="B258" i="4"/>
  <c r="B258" i="3"/>
  <c r="E110" i="3" l="1"/>
  <c r="F110" i="3" s="1"/>
  <c r="G110" i="3" s="1"/>
  <c r="L110" i="3" s="1"/>
  <c r="A260" i="3"/>
  <c r="D259" i="3"/>
  <c r="B259" i="3"/>
  <c r="B259" i="4"/>
  <c r="I110" i="3" l="1"/>
  <c r="C111" i="3" s="1"/>
  <c r="D260" i="3"/>
  <c r="A261" i="3"/>
  <c r="B260" i="3"/>
  <c r="B260" i="4"/>
  <c r="H111" i="3" l="1"/>
  <c r="J111" i="3" s="1"/>
  <c r="E111" i="3"/>
  <c r="D261" i="3"/>
  <c r="A262" i="3"/>
  <c r="B261" i="3"/>
  <c r="B261" i="4"/>
  <c r="B262" i="3" l="1"/>
  <c r="B262" i="4"/>
  <c r="D262" i="3"/>
  <c r="A263" i="3"/>
  <c r="F111" i="3"/>
  <c r="G111" i="3" s="1"/>
  <c r="L111" i="3" s="1"/>
  <c r="I111" i="3" l="1"/>
  <c r="C112" i="3" s="1"/>
  <c r="H112" i="3" s="1"/>
  <c r="J112" i="3" s="1"/>
  <c r="B263" i="3"/>
  <c r="D263" i="3"/>
  <c r="A264" i="3"/>
  <c r="B263" i="4"/>
  <c r="E112" i="3" l="1"/>
  <c r="F112" i="3" s="1"/>
  <c r="G112" i="3" s="1"/>
  <c r="L112" i="3" s="1"/>
  <c r="D264" i="3"/>
  <c r="B264" i="3"/>
  <c r="B264" i="4"/>
  <c r="A265" i="3"/>
  <c r="I112" i="3" l="1"/>
  <c r="C113" i="3" s="1"/>
  <c r="A266" i="3"/>
  <c r="B265" i="4"/>
  <c r="B265" i="3"/>
  <c r="D265" i="3"/>
  <c r="B266" i="4" l="1"/>
  <c r="A267" i="3"/>
  <c r="B266" i="3"/>
  <c r="D266" i="3"/>
  <c r="E113" i="3"/>
  <c r="H113" i="3"/>
  <c r="J113" i="3" s="1"/>
  <c r="K113" i="3" s="1"/>
  <c r="J24" i="2" s="1"/>
  <c r="F113" i="3" l="1"/>
  <c r="G113" i="3" s="1"/>
  <c r="L113" i="3" s="1"/>
  <c r="B267" i="3"/>
  <c r="A268" i="3"/>
  <c r="D267" i="3"/>
  <c r="B267" i="4"/>
  <c r="I113" i="3" l="1"/>
  <c r="J28" i="2" s="1"/>
  <c r="J29" i="2" s="1"/>
  <c r="B268" i="4"/>
  <c r="B268" i="3"/>
  <c r="A269" i="3"/>
  <c r="D268" i="3"/>
  <c r="C114" i="3" l="1"/>
  <c r="H114" i="3"/>
  <c r="J114" i="3" s="1"/>
  <c r="E114" i="3"/>
  <c r="J39" i="2"/>
  <c r="J48" i="2" s="1"/>
  <c r="J36" i="2" s="1"/>
  <c r="J35" i="2"/>
  <c r="J34" i="2"/>
  <c r="B269" i="3"/>
  <c r="D269" i="3"/>
  <c r="A270" i="3"/>
  <c r="B269" i="4"/>
  <c r="F114" i="3" l="1"/>
  <c r="G114" i="3" s="1"/>
  <c r="L114" i="3" s="1"/>
  <c r="A271" i="3"/>
  <c r="B270" i="4"/>
  <c r="B270" i="3"/>
  <c r="D270" i="3"/>
  <c r="I114" i="3" l="1"/>
  <c r="C115" i="3" s="1"/>
  <c r="H115" i="3" s="1"/>
  <c r="J115" i="3" s="1"/>
  <c r="B271" i="3"/>
  <c r="D271" i="3"/>
  <c r="A272" i="3"/>
  <c r="B271" i="4"/>
  <c r="E115" i="3" l="1"/>
  <c r="F115" i="3" s="1"/>
  <c r="G115" i="3" s="1"/>
  <c r="L115" i="3" s="1"/>
  <c r="D272" i="3"/>
  <c r="A273" i="3"/>
  <c r="B272" i="3"/>
  <c r="B272" i="4"/>
  <c r="I115" i="3" l="1"/>
  <c r="C116" i="3" s="1"/>
  <c r="E116" i="3" s="1"/>
  <c r="B273" i="3"/>
  <c r="A274" i="3"/>
  <c r="D273" i="3"/>
  <c r="B273" i="4"/>
  <c r="H116" i="3" l="1"/>
  <c r="J116" i="3" s="1"/>
  <c r="B274" i="3"/>
  <c r="A275" i="3"/>
  <c r="D274" i="3"/>
  <c r="B274" i="4"/>
  <c r="F116" i="3"/>
  <c r="G116" i="3" s="1"/>
  <c r="L116" i="3" s="1"/>
  <c r="I116" i="3" l="1"/>
  <c r="C117" i="3" s="1"/>
  <c r="H117" i="3" s="1"/>
  <c r="J117" i="3" s="1"/>
  <c r="D275" i="3"/>
  <c r="B275" i="4"/>
  <c r="A276" i="3"/>
  <c r="B275" i="3"/>
  <c r="E117" i="3" l="1"/>
  <c r="F117" i="3" s="1"/>
  <c r="G117" i="3" s="1"/>
  <c r="L117" i="3" s="1"/>
  <c r="D276" i="3"/>
  <c r="A277" i="3"/>
  <c r="B276" i="4"/>
  <c r="B276" i="3"/>
  <c r="I117" i="3" l="1"/>
  <c r="C118" i="3" s="1"/>
  <c r="H118" i="3" s="1"/>
  <c r="J118" i="3" s="1"/>
  <c r="A278" i="3"/>
  <c r="D277" i="3"/>
  <c r="B277" i="4"/>
  <c r="B277" i="3"/>
  <c r="E118" i="3" l="1"/>
  <c r="F118" i="3" s="1"/>
  <c r="G118" i="3" s="1"/>
  <c r="L118" i="3" s="1"/>
  <c r="B278" i="3"/>
  <c r="B278" i="4"/>
  <c r="D278" i="3"/>
  <c r="A279" i="3"/>
  <c r="I118" i="3" l="1"/>
  <c r="C119" i="3" s="1"/>
  <c r="H119" i="3" s="1"/>
  <c r="J119" i="3" s="1"/>
  <c r="D279" i="3"/>
  <c r="A280" i="3"/>
  <c r="B279" i="3"/>
  <c r="B279" i="4"/>
  <c r="E119" i="3" l="1"/>
  <c r="F119" i="3" s="1"/>
  <c r="G119" i="3" s="1"/>
  <c r="L119" i="3" s="1"/>
  <c r="A281" i="3"/>
  <c r="B280" i="4"/>
  <c r="B280" i="3"/>
  <c r="D280" i="3"/>
  <c r="I119" i="3" l="1"/>
  <c r="C120" i="3" s="1"/>
  <c r="H120" i="3" s="1"/>
  <c r="J120" i="3" s="1"/>
  <c r="B281" i="4"/>
  <c r="D281" i="3"/>
  <c r="A282" i="3"/>
  <c r="B281" i="3"/>
  <c r="E120" i="3"/>
  <c r="B282" i="3" l="1"/>
  <c r="D282" i="3"/>
  <c r="B282" i="4"/>
  <c r="A283" i="3"/>
  <c r="F120" i="3"/>
  <c r="G120" i="3" s="1"/>
  <c r="L120" i="3" s="1"/>
  <c r="I120" i="3" l="1"/>
  <c r="C121" i="3" s="1"/>
  <c r="A284" i="3"/>
  <c r="B283" i="3"/>
  <c r="B283" i="4"/>
  <c r="D283" i="3"/>
  <c r="D284" i="3" l="1"/>
  <c r="B284" i="3"/>
  <c r="B284" i="4"/>
  <c r="A285" i="3"/>
  <c r="E121" i="3"/>
  <c r="H121" i="3"/>
  <c r="J121" i="3" s="1"/>
  <c r="F121" i="3" l="1"/>
  <c r="G121" i="3" s="1"/>
  <c r="L121" i="3" s="1"/>
  <c r="D285" i="3"/>
  <c r="B285" i="4"/>
  <c r="B285" i="3"/>
  <c r="A286" i="3"/>
  <c r="I121" i="3" l="1"/>
  <c r="C122" i="3" s="1"/>
  <c r="A287" i="3"/>
  <c r="B286" i="4"/>
  <c r="D286" i="3"/>
  <c r="B286" i="3"/>
  <c r="H122" i="3" l="1"/>
  <c r="J122" i="3" s="1"/>
  <c r="E122" i="3"/>
  <c r="B287" i="4"/>
  <c r="D287" i="3"/>
  <c r="B287" i="3"/>
  <c r="A288" i="3"/>
  <c r="B288" i="4" l="1"/>
  <c r="B288" i="3"/>
  <c r="D288" i="3"/>
  <c r="A289" i="3"/>
  <c r="F122" i="3"/>
  <c r="G122" i="3" s="1"/>
  <c r="L122" i="3" s="1"/>
  <c r="I122" i="3" l="1"/>
  <c r="C123" i="3" s="1"/>
  <c r="E123" i="3" s="1"/>
  <c r="B289" i="3"/>
  <c r="A290" i="3"/>
  <c r="B289" i="4"/>
  <c r="D289" i="3"/>
  <c r="H123" i="3" l="1"/>
  <c r="J123" i="3" s="1"/>
  <c r="F123" i="3"/>
  <c r="B290" i="3"/>
  <c r="D290" i="3"/>
  <c r="B290" i="4"/>
  <c r="A291" i="3"/>
  <c r="G123" i="3" l="1"/>
  <c r="L123" i="3" s="1"/>
  <c r="A292" i="3"/>
  <c r="D291" i="3"/>
  <c r="B291" i="4"/>
  <c r="B291" i="3"/>
  <c r="I123" i="3" l="1"/>
  <c r="C124" i="3" s="1"/>
  <c r="E124" i="3" s="1"/>
  <c r="F124" i="3" s="1"/>
  <c r="B292" i="3"/>
  <c r="B292" i="4"/>
  <c r="A293" i="3"/>
  <c r="D292" i="3"/>
  <c r="H124" i="3" l="1"/>
  <c r="J124" i="3" s="1"/>
  <c r="B293" i="3"/>
  <c r="A294" i="3"/>
  <c r="D293" i="3"/>
  <c r="B293" i="4"/>
  <c r="G124" i="3" l="1"/>
  <c r="B294" i="4"/>
  <c r="D294" i="3"/>
  <c r="A295" i="3"/>
  <c r="B294" i="3"/>
  <c r="L124" i="3" l="1"/>
  <c r="I124" i="3"/>
  <c r="C125" i="3" s="1"/>
  <c r="D295" i="3"/>
  <c r="B295" i="3"/>
  <c r="A296" i="3"/>
  <c r="B295" i="4"/>
  <c r="H125" i="3" l="1"/>
  <c r="J125" i="3" s="1"/>
  <c r="K125" i="3" s="1"/>
  <c r="K24" i="2" s="1"/>
  <c r="E125" i="3"/>
  <c r="F125" i="3" s="1"/>
  <c r="G125" i="3" s="1"/>
  <c r="L125" i="3" s="1"/>
  <c r="B296" i="3"/>
  <c r="D296" i="3"/>
  <c r="B296" i="4"/>
  <c r="A297" i="3"/>
  <c r="I125" i="3" l="1"/>
  <c r="K28" i="2" s="1"/>
  <c r="K29" i="2" s="1"/>
  <c r="K39" i="2" s="1"/>
  <c r="K49" i="2" s="1"/>
  <c r="K36" i="2" s="1"/>
  <c r="D297" i="3"/>
  <c r="B297" i="3"/>
  <c r="B297" i="4"/>
  <c r="A298" i="3"/>
  <c r="K35" i="2"/>
  <c r="K34" i="2"/>
  <c r="C126" i="3" l="1"/>
  <c r="A299" i="3"/>
  <c r="D298" i="3"/>
  <c r="B298" i="4"/>
  <c r="B298" i="3"/>
  <c r="H126" i="3" l="1"/>
  <c r="J126" i="3" s="1"/>
  <c r="E126" i="3"/>
  <c r="F126" i="3" s="1"/>
  <c r="G126" i="3" s="1"/>
  <c r="L126" i="3" s="1"/>
  <c r="B299" i="3"/>
  <c r="A300" i="3"/>
  <c r="D299" i="3"/>
  <c r="B299" i="4"/>
  <c r="I126" i="3" l="1"/>
  <c r="C127" i="3" s="1"/>
  <c r="H127" i="3" s="1"/>
  <c r="J127" i="3" s="1"/>
  <c r="D300" i="3"/>
  <c r="B300" i="4"/>
  <c r="B300" i="3"/>
  <c r="A301" i="3"/>
  <c r="E127" i="3" l="1"/>
  <c r="F127" i="3" s="1"/>
  <c r="G127" i="3" s="1"/>
  <c r="L127" i="3" s="1"/>
  <c r="A302" i="3"/>
  <c r="D301" i="3"/>
  <c r="B301" i="4"/>
  <c r="B301" i="3"/>
  <c r="I127" i="3" l="1"/>
  <c r="C128" i="3" s="1"/>
  <c r="A303" i="3"/>
  <c r="B302" i="4"/>
  <c r="B302" i="3"/>
  <c r="D302" i="3"/>
  <c r="H128" i="3"/>
  <c r="J128" i="3" s="1"/>
  <c r="E128" i="3"/>
  <c r="F128" i="3" l="1"/>
  <c r="G128" i="3" s="1"/>
  <c r="L128" i="3" s="1"/>
  <c r="A304" i="3"/>
  <c r="D303" i="3"/>
  <c r="B303" i="4"/>
  <c r="B303" i="3"/>
  <c r="I128" i="3" l="1"/>
  <c r="C129" i="3" s="1"/>
  <c r="H129" i="3" s="1"/>
  <c r="J129" i="3" s="1"/>
  <c r="A305" i="3"/>
  <c r="B304" i="3"/>
  <c r="D304" i="3"/>
  <c r="B304" i="4"/>
  <c r="E129" i="3" l="1"/>
  <c r="F129" i="3" s="1"/>
  <c r="G129" i="3" s="1"/>
  <c r="L129" i="3" s="1"/>
  <c r="A306" i="3"/>
  <c r="B305" i="4"/>
  <c r="D305" i="3"/>
  <c r="B305" i="3"/>
  <c r="D306" i="3" l="1"/>
  <c r="B306" i="3"/>
  <c r="B306" i="4"/>
  <c r="A307" i="3"/>
  <c r="I129" i="3"/>
  <c r="C130" i="3" s="1"/>
  <c r="H130" i="3" l="1"/>
  <c r="J130" i="3" s="1"/>
  <c r="E130" i="3"/>
  <c r="B307" i="4"/>
  <c r="D307" i="3"/>
  <c r="B307" i="3"/>
  <c r="A308" i="3"/>
  <c r="B308" i="3" l="1"/>
  <c r="B308" i="4"/>
  <c r="D308" i="3"/>
  <c r="A309" i="3"/>
  <c r="F130" i="3"/>
  <c r="G130" i="3" s="1"/>
  <c r="L130" i="3" s="1"/>
  <c r="D309" i="3" l="1"/>
  <c r="B309" i="3"/>
  <c r="B309" i="4"/>
  <c r="A310" i="3"/>
  <c r="I130" i="3"/>
  <c r="C131" i="3" s="1"/>
  <c r="D310" i="3" l="1"/>
  <c r="B310" i="4"/>
  <c r="B310" i="3"/>
  <c r="A311" i="3"/>
  <c r="E131" i="3"/>
  <c r="H131" i="3"/>
  <c r="J131" i="3" s="1"/>
  <c r="F131" i="3" l="1"/>
  <c r="G131" i="3" s="1"/>
  <c r="L131" i="3" s="1"/>
  <c r="B311" i="3"/>
  <c r="D311" i="3"/>
  <c r="B311" i="4"/>
  <c r="A312" i="3"/>
  <c r="I131" i="3" l="1"/>
  <c r="C132" i="3" s="1"/>
  <c r="H132" i="3" s="1"/>
  <c r="J132" i="3" s="1"/>
  <c r="B312" i="3"/>
  <c r="B312" i="4"/>
  <c r="D312" i="3"/>
  <c r="A313" i="3"/>
  <c r="E132" i="3" l="1"/>
  <c r="B313" i="4"/>
  <c r="B313" i="3"/>
  <c r="D313" i="3"/>
  <c r="A314" i="3"/>
  <c r="F132" i="3"/>
  <c r="G132" i="3" s="1"/>
  <c r="L132" i="3" s="1"/>
  <c r="I132" i="3" l="1"/>
  <c r="C133" i="3" s="1"/>
  <c r="H133" i="3" s="1"/>
  <c r="J133" i="3" s="1"/>
  <c r="A315" i="3"/>
  <c r="B314" i="4"/>
  <c r="D314" i="3"/>
  <c r="B314" i="3"/>
  <c r="E133" i="3" l="1"/>
  <c r="F133" i="3" s="1"/>
  <c r="G133" i="3" s="1"/>
  <c r="B315" i="4"/>
  <c r="D315" i="3"/>
  <c r="B315" i="3"/>
  <c r="A316" i="3"/>
  <c r="L133" i="3" l="1"/>
  <c r="I133" i="3"/>
  <c r="C134" i="3" s="1"/>
  <c r="H134" i="3" s="1"/>
  <c r="J134" i="3" s="1"/>
  <c r="B316" i="4"/>
  <c r="B316" i="3"/>
  <c r="D316" i="3"/>
  <c r="A317" i="3"/>
  <c r="E134" i="3" l="1"/>
  <c r="B317" i="4"/>
  <c r="A318" i="3"/>
  <c r="D317" i="3"/>
  <c r="B317" i="3"/>
  <c r="F134" i="3"/>
  <c r="G134" i="3" s="1"/>
  <c r="L134" i="3" s="1"/>
  <c r="A319" i="3" l="1"/>
  <c r="B318" i="4"/>
  <c r="B318" i="3"/>
  <c r="D318" i="3"/>
  <c r="I134" i="3"/>
  <c r="C135" i="3" s="1"/>
  <c r="A320" i="3" l="1"/>
  <c r="B319" i="3"/>
  <c r="D319" i="3"/>
  <c r="B319" i="4"/>
  <c r="H135" i="3"/>
  <c r="J135" i="3" s="1"/>
  <c r="E135" i="3"/>
  <c r="A321" i="3" l="1"/>
  <c r="B320" i="3"/>
  <c r="B320" i="4"/>
  <c r="D320" i="3"/>
  <c r="F135" i="3"/>
  <c r="G135" i="3" s="1"/>
  <c r="L135" i="3" s="1"/>
  <c r="I135" i="3" l="1"/>
  <c r="C136" i="3" s="1"/>
  <c r="B321" i="4"/>
  <c r="A322" i="3"/>
  <c r="B321" i="3"/>
  <c r="D321" i="3"/>
  <c r="H136" i="3"/>
  <c r="J136" i="3" s="1"/>
  <c r="E136" i="3"/>
  <c r="B322" i="4" l="1"/>
  <c r="B322" i="3"/>
  <c r="A323" i="3"/>
  <c r="D322" i="3"/>
  <c r="F136" i="3"/>
  <c r="G136" i="3" s="1"/>
  <c r="L136" i="3" s="1"/>
  <c r="I136" i="3" l="1"/>
  <c r="C137" i="3" s="1"/>
  <c r="H137" i="3" s="1"/>
  <c r="J137" i="3" s="1"/>
  <c r="K137" i="3" s="1"/>
  <c r="A324" i="3"/>
  <c r="B323" i="4"/>
  <c r="D323" i="3"/>
  <c r="B323" i="3"/>
  <c r="E137" i="3" l="1"/>
  <c r="F137" i="3" s="1"/>
  <c r="G137" i="3" s="1"/>
  <c r="L137" i="3" s="1"/>
  <c r="L24" i="2"/>
  <c r="M46" i="1"/>
  <c r="B324" i="4"/>
  <c r="B324" i="3"/>
  <c r="A325" i="3"/>
  <c r="D324" i="3"/>
  <c r="I137" i="3" l="1"/>
  <c r="M50" i="1" s="1"/>
  <c r="M51" i="1" s="1"/>
  <c r="M56" i="1" s="1"/>
  <c r="D325" i="3"/>
  <c r="B325" i="4"/>
  <c r="B325" i="3"/>
  <c r="A326" i="3"/>
  <c r="C138" i="3" l="1"/>
  <c r="L28" i="2"/>
  <c r="L29" i="2" s="1"/>
  <c r="L39" i="2" s="1"/>
  <c r="L50" i="2" s="1"/>
  <c r="L36" i="2" s="1"/>
  <c r="D326" i="3"/>
  <c r="B326" i="4"/>
  <c r="B326" i="3"/>
  <c r="A327" i="3"/>
  <c r="L34" i="2"/>
  <c r="E138" i="3"/>
  <c r="H138" i="3"/>
  <c r="J138" i="3" s="1"/>
  <c r="L35" i="2" l="1"/>
  <c r="B327" i="3"/>
  <c r="D327" i="3"/>
  <c r="B327" i="4"/>
  <c r="A328" i="3"/>
  <c r="F138" i="3"/>
  <c r="G138" i="3" s="1"/>
  <c r="L138" i="3" s="1"/>
  <c r="A329" i="3" l="1"/>
  <c r="B328" i="3"/>
  <c r="D328" i="3"/>
  <c r="B328" i="4"/>
  <c r="I138" i="3"/>
  <c r="C139" i="3" s="1"/>
  <c r="D329" i="3" l="1"/>
  <c r="B329" i="3"/>
  <c r="B329" i="4"/>
  <c r="A330" i="3"/>
  <c r="H139" i="3"/>
  <c r="J139" i="3" s="1"/>
  <c r="E139" i="3"/>
  <c r="F139" i="3" l="1"/>
  <c r="G139" i="3" s="1"/>
  <c r="L139" i="3" s="1"/>
  <c r="B330" i="4"/>
  <c r="B330" i="3"/>
  <c r="D330" i="3"/>
  <c r="A331" i="3"/>
  <c r="I139" i="3" l="1"/>
  <c r="C140" i="3" s="1"/>
  <c r="H140" i="3" s="1"/>
  <c r="J140" i="3" s="1"/>
  <c r="A332" i="3"/>
  <c r="B331" i="4"/>
  <c r="B331" i="3"/>
  <c r="D331" i="3"/>
  <c r="E140" i="3" l="1"/>
  <c r="F140" i="3" s="1"/>
  <c r="G140" i="3" s="1"/>
  <c r="L140" i="3" s="1"/>
  <c r="B332" i="3"/>
  <c r="B332" i="4"/>
  <c r="A333" i="3"/>
  <c r="D332" i="3"/>
  <c r="B333" i="3" l="1"/>
  <c r="B333" i="4"/>
  <c r="D333" i="3"/>
  <c r="A334" i="3"/>
  <c r="I140" i="3"/>
  <c r="C141" i="3" s="1"/>
  <c r="H141" i="3" l="1"/>
  <c r="J141" i="3" s="1"/>
  <c r="E141" i="3"/>
  <c r="A335" i="3"/>
  <c r="B334" i="4"/>
  <c r="D334" i="3"/>
  <c r="B334" i="3"/>
  <c r="F141" i="3" l="1"/>
  <c r="G141" i="3" s="1"/>
  <c r="L141" i="3" s="1"/>
  <c r="D335" i="3"/>
  <c r="B335" i="4"/>
  <c r="B335" i="3"/>
  <c r="A336" i="3"/>
  <c r="I141" i="3" l="1"/>
  <c r="C142" i="3" s="1"/>
  <c r="D336" i="3"/>
  <c r="A337" i="3"/>
  <c r="B336" i="3"/>
  <c r="B336" i="4"/>
  <c r="B337" i="4" l="1"/>
  <c r="D337" i="3"/>
  <c r="A338" i="3"/>
  <c r="B337" i="3"/>
  <c r="H142" i="3"/>
  <c r="J142" i="3" s="1"/>
  <c r="E142" i="3"/>
  <c r="D338" i="3" l="1"/>
  <c r="A339" i="3"/>
  <c r="B338" i="3"/>
  <c r="B338" i="4"/>
  <c r="F142" i="3"/>
  <c r="G142" i="3" s="1"/>
  <c r="L142" i="3" s="1"/>
  <c r="I142" i="3" l="1"/>
  <c r="C143" i="3" s="1"/>
  <c r="B339" i="3"/>
  <c r="B339" i="4"/>
  <c r="A340" i="3"/>
  <c r="D339" i="3"/>
  <c r="A341" i="3" l="1"/>
  <c r="B340" i="3"/>
  <c r="D340" i="3"/>
  <c r="B340" i="4"/>
  <c r="E143" i="3"/>
  <c r="H143" i="3"/>
  <c r="J143" i="3" s="1"/>
  <c r="B341" i="3" l="1"/>
  <c r="A342" i="3"/>
  <c r="B341" i="4"/>
  <c r="D341" i="3"/>
  <c r="F143" i="3"/>
  <c r="G143" i="3" s="1"/>
  <c r="L143" i="3" s="1"/>
  <c r="I143" i="3" l="1"/>
  <c r="C144" i="3" s="1"/>
  <c r="H144" i="3" s="1"/>
  <c r="J144" i="3" s="1"/>
  <c r="B342" i="3"/>
  <c r="A343" i="3"/>
  <c r="D342" i="3"/>
  <c r="B342" i="4"/>
  <c r="E144" i="3"/>
  <c r="F144" i="3" l="1"/>
  <c r="G144" i="3" s="1"/>
  <c r="L144" i="3" s="1"/>
  <c r="A344" i="3"/>
  <c r="B343" i="3"/>
  <c r="D343" i="3"/>
  <c r="B343" i="4"/>
  <c r="I144" i="3" l="1"/>
  <c r="C145" i="3" s="1"/>
  <c r="E145" i="3" s="1"/>
  <c r="A345" i="3"/>
  <c r="D344" i="3"/>
  <c r="B344" i="4"/>
  <c r="B344" i="3"/>
  <c r="H145" i="3" l="1"/>
  <c r="J145" i="3" s="1"/>
  <c r="F145" i="3"/>
  <c r="A346" i="3"/>
  <c r="B345" i="4"/>
  <c r="D345" i="3"/>
  <c r="B345" i="3"/>
  <c r="G145" i="3" l="1"/>
  <c r="L145" i="3" s="1"/>
  <c r="I145" i="3"/>
  <c r="C146" i="3" s="1"/>
  <c r="H146" i="3" s="1"/>
  <c r="J146" i="3" s="1"/>
  <c r="D346" i="3"/>
  <c r="B346" i="3"/>
  <c r="A347" i="3"/>
  <c r="B346" i="4"/>
  <c r="E146" i="3" l="1"/>
  <c r="D347" i="3"/>
  <c r="B347" i="3"/>
  <c r="B347" i="4"/>
  <c r="A348" i="3"/>
  <c r="F146" i="3"/>
  <c r="G146" i="3" s="1"/>
  <c r="L146" i="3" s="1"/>
  <c r="I146" i="3" l="1"/>
  <c r="C147" i="3" s="1"/>
  <c r="B348" i="3"/>
  <c r="D348" i="3"/>
  <c r="A349" i="3"/>
  <c r="B348" i="4"/>
  <c r="B349" i="4" l="1"/>
  <c r="B349" i="3"/>
  <c r="A350" i="3"/>
  <c r="D349" i="3"/>
  <c r="H147" i="3"/>
  <c r="J147" i="3" s="1"/>
  <c r="E147" i="3"/>
  <c r="B350" i="3" l="1"/>
  <c r="D350" i="3"/>
  <c r="B350" i="4"/>
  <c r="A351" i="3"/>
  <c r="F147" i="3"/>
  <c r="G147" i="3" s="1"/>
  <c r="L147" i="3" s="1"/>
  <c r="I147" i="3" l="1"/>
  <c r="C148" i="3" s="1"/>
  <c r="H148" i="3" s="1"/>
  <c r="J148" i="3" s="1"/>
  <c r="B351" i="4"/>
  <c r="D351" i="3"/>
  <c r="B351" i="3"/>
  <c r="A352" i="3"/>
  <c r="E148" i="3" l="1"/>
  <c r="F148" i="3" s="1"/>
  <c r="G148" i="3" s="1"/>
  <c r="L148" i="3" s="1"/>
  <c r="A353" i="3"/>
  <c r="B352" i="3"/>
  <c r="B352" i="4"/>
  <c r="D352" i="3"/>
  <c r="I148" i="3" l="1"/>
  <c r="C149" i="3" s="1"/>
  <c r="H149" i="3" s="1"/>
  <c r="J149" i="3" s="1"/>
  <c r="K149" i="3" s="1"/>
  <c r="M24" i="2" s="1"/>
  <c r="A354" i="3"/>
  <c r="D353" i="3"/>
  <c r="B353" i="4"/>
  <c r="B353" i="3"/>
  <c r="E149" i="3" l="1"/>
  <c r="F149" i="3" s="1"/>
  <c r="G149" i="3" s="1"/>
  <c r="L149" i="3" s="1"/>
  <c r="B354" i="4"/>
  <c r="A355" i="3"/>
  <c r="D354" i="3"/>
  <c r="B354" i="3"/>
  <c r="B355" i="4" l="1"/>
  <c r="D355" i="3"/>
  <c r="A356" i="3"/>
  <c r="B355" i="3"/>
  <c r="I149" i="3"/>
  <c r="M28" i="2" l="1"/>
  <c r="M29" i="2" s="1"/>
  <c r="C150" i="3"/>
  <c r="D356" i="3"/>
  <c r="A357" i="3"/>
  <c r="B356" i="4"/>
  <c r="B356" i="3"/>
  <c r="A358" i="3" l="1"/>
  <c r="B357" i="3"/>
  <c r="D357" i="3"/>
  <c r="B357" i="4"/>
  <c r="H150" i="3"/>
  <c r="J150" i="3" s="1"/>
  <c r="E150" i="3"/>
  <c r="M39" i="2"/>
  <c r="M51" i="2" s="1"/>
  <c r="M36" i="2" s="1"/>
  <c r="M34" i="2"/>
  <c r="M35" i="2"/>
  <c r="F150" i="3" l="1"/>
  <c r="G150" i="3" s="1"/>
  <c r="L150" i="3" s="1"/>
  <c r="A359" i="3"/>
  <c r="B358" i="4"/>
  <c r="B358" i="3"/>
  <c r="D358" i="3"/>
  <c r="A360" i="3" l="1"/>
  <c r="D359" i="3"/>
  <c r="B359" i="3"/>
  <c r="B359" i="4"/>
  <c r="I150" i="3"/>
  <c r="C151" i="3" s="1"/>
  <c r="A361" i="3" l="1"/>
  <c r="B360" i="3"/>
  <c r="D360" i="3"/>
  <c r="B360" i="4"/>
  <c r="H151" i="3"/>
  <c r="J151" i="3" s="1"/>
  <c r="E151" i="3"/>
  <c r="B361" i="3" l="1"/>
  <c r="D361" i="3"/>
  <c r="B361" i="4"/>
  <c r="A362" i="3"/>
  <c r="F151" i="3"/>
  <c r="G151" i="3" s="1"/>
  <c r="L151" i="3" s="1"/>
  <c r="I151" i="3" l="1"/>
  <c r="C152" i="3" s="1"/>
  <c r="D362" i="3"/>
  <c r="A363" i="3"/>
  <c r="B362" i="3"/>
  <c r="B362" i="4"/>
  <c r="B363" i="3" l="1"/>
  <c r="D363" i="3"/>
  <c r="B363" i="4"/>
  <c r="A364" i="3"/>
  <c r="H152" i="3"/>
  <c r="J152" i="3" s="1"/>
  <c r="E152" i="3"/>
  <c r="F152" i="3" l="1"/>
  <c r="G152" i="3" s="1"/>
  <c r="L152" i="3" s="1"/>
  <c r="B364" i="3"/>
  <c r="D364" i="3"/>
  <c r="A365" i="3"/>
  <c r="B364" i="4"/>
  <c r="B365" i="3" l="1"/>
  <c r="B365" i="4"/>
  <c r="A366" i="3"/>
  <c r="D365" i="3"/>
  <c r="I152" i="3"/>
  <c r="C153" i="3" s="1"/>
  <c r="H153" i="3" l="1"/>
  <c r="J153" i="3" s="1"/>
  <c r="E153" i="3"/>
  <c r="B366" i="3"/>
  <c r="A367" i="3"/>
  <c r="D366" i="3"/>
  <c r="B366" i="4"/>
  <c r="B367" i="4" l="1"/>
  <c r="B367" i="3"/>
  <c r="D367" i="3"/>
  <c r="A368" i="3"/>
  <c r="F153" i="3"/>
  <c r="G153" i="3" s="1"/>
  <c r="L153" i="3" s="1"/>
  <c r="I153" i="3" l="1"/>
  <c r="C154" i="3" s="1"/>
  <c r="D368" i="3"/>
  <c r="B368" i="4"/>
  <c r="A369" i="3"/>
  <c r="B368" i="3"/>
  <c r="D369" i="3" l="1"/>
  <c r="A370" i="3"/>
  <c r="B369" i="3"/>
  <c r="B369" i="4"/>
  <c r="H154" i="3"/>
  <c r="J154" i="3" s="1"/>
  <c r="E154" i="3"/>
  <c r="B370" i="4" l="1"/>
  <c r="B370" i="3"/>
  <c r="A371" i="3"/>
  <c r="D370" i="3"/>
  <c r="F154" i="3"/>
  <c r="G154" i="3" s="1"/>
  <c r="L154" i="3" s="1"/>
  <c r="I154" i="3" l="1"/>
  <c r="C155" i="3" s="1"/>
  <c r="B371" i="3"/>
  <c r="D371" i="3"/>
  <c r="B371" i="4"/>
  <c r="A372" i="3"/>
  <c r="B372" i="4" l="1"/>
  <c r="A373" i="3"/>
  <c r="D372" i="3"/>
  <c r="B372" i="3"/>
  <c r="H155" i="3"/>
  <c r="J155" i="3" s="1"/>
  <c r="E155" i="3"/>
  <c r="F155" i="3" l="1"/>
  <c r="G155" i="3" s="1"/>
  <c r="L155" i="3" s="1"/>
  <c r="D373" i="3"/>
  <c r="A374" i="3"/>
  <c r="B373" i="4"/>
  <c r="B373" i="3"/>
  <c r="A375" i="3" l="1"/>
  <c r="B374" i="4"/>
  <c r="B374" i="3"/>
  <c r="D374" i="3"/>
  <c r="I155" i="3"/>
  <c r="C156" i="3" s="1"/>
  <c r="H156" i="3" l="1"/>
  <c r="J156" i="3" s="1"/>
  <c r="E156" i="3"/>
  <c r="A376" i="3"/>
  <c r="D375" i="3"/>
  <c r="B375" i="4"/>
  <c r="B375" i="3"/>
  <c r="F156" i="3" l="1"/>
  <c r="G156" i="3" s="1"/>
  <c r="L156" i="3" s="1"/>
  <c r="B376" i="4"/>
  <c r="B376" i="3"/>
  <c r="D376" i="3"/>
  <c r="A377" i="3"/>
  <c r="B377" i="3" l="1"/>
  <c r="B377" i="4"/>
  <c r="A378" i="3"/>
  <c r="D377" i="3"/>
  <c r="I156" i="3"/>
  <c r="C157" i="3" s="1"/>
  <c r="B378" i="4" l="1"/>
  <c r="D378" i="3"/>
  <c r="B378" i="3"/>
  <c r="A379" i="3"/>
  <c r="C378" i="4"/>
  <c r="E157" i="3"/>
  <c r="H157" i="3"/>
  <c r="J157" i="3" s="1"/>
  <c r="D379" i="3" l="1"/>
  <c r="A380" i="3"/>
  <c r="B379" i="3"/>
  <c r="C379" i="4"/>
  <c r="B379" i="4"/>
  <c r="F157" i="3"/>
  <c r="G157" i="3" s="1"/>
  <c r="L157" i="3" s="1"/>
  <c r="I157" i="3" l="1"/>
  <c r="C158" i="3" s="1"/>
  <c r="H158" i="3" s="1"/>
  <c r="J158" i="3" s="1"/>
  <c r="A381" i="3"/>
  <c r="B380" i="3"/>
  <c r="C380" i="4"/>
  <c r="B380" i="4"/>
  <c r="D380" i="3"/>
  <c r="E158" i="3" l="1"/>
  <c r="B381" i="4"/>
  <c r="D381" i="3"/>
  <c r="C381" i="4"/>
  <c r="B381" i="3"/>
  <c r="A382" i="3"/>
  <c r="F158" i="3"/>
  <c r="G158" i="3" s="1"/>
  <c r="L158" i="3" s="1"/>
  <c r="I158" i="3" l="1"/>
  <c r="C159" i="3" s="1"/>
  <c r="A383" i="3"/>
  <c r="B382" i="3"/>
  <c r="B382" i="4"/>
  <c r="C382" i="4"/>
  <c r="D382" i="3"/>
  <c r="B383" i="4" l="1"/>
  <c r="D383" i="3"/>
  <c r="C383" i="4"/>
  <c r="B383" i="3"/>
  <c r="A384" i="3"/>
  <c r="E159" i="3"/>
  <c r="H159" i="3"/>
  <c r="J159" i="3" s="1"/>
  <c r="F159" i="3" l="1"/>
  <c r="G159" i="3" s="1"/>
  <c r="L159" i="3" s="1"/>
  <c r="D384" i="3"/>
  <c r="C384" i="4"/>
  <c r="A385" i="3"/>
  <c r="B384" i="4"/>
  <c r="B384" i="3"/>
  <c r="I159" i="3" l="1"/>
  <c r="C160" i="3" s="1"/>
  <c r="H160" i="3" s="1"/>
  <c r="J160" i="3" s="1"/>
  <c r="B385" i="4"/>
  <c r="A386" i="3"/>
  <c r="B385" i="3"/>
  <c r="C385" i="4"/>
  <c r="D385" i="3"/>
  <c r="E160" i="3" l="1"/>
  <c r="F160" i="3" s="1"/>
  <c r="G160" i="3" s="1"/>
  <c r="L160" i="3" s="1"/>
  <c r="D386" i="3"/>
  <c r="A387" i="3"/>
  <c r="B386" i="3"/>
  <c r="B386" i="4"/>
  <c r="C386" i="4"/>
  <c r="I160" i="3" l="1"/>
  <c r="C161" i="3" s="1"/>
  <c r="B387" i="3"/>
  <c r="C387" i="4"/>
  <c r="A388" i="3"/>
  <c r="B387" i="4"/>
  <c r="D387" i="3"/>
  <c r="B388" i="4" l="1"/>
  <c r="C388" i="4"/>
  <c r="D388" i="3"/>
  <c r="A389" i="3"/>
  <c r="B388" i="3"/>
  <c r="H161" i="3"/>
  <c r="J161" i="3" s="1"/>
  <c r="K161" i="3" s="1"/>
  <c r="N24" i="2" s="1"/>
  <c r="E161" i="3"/>
  <c r="F161" i="3" l="1"/>
  <c r="G161" i="3" s="1"/>
  <c r="L161" i="3" s="1"/>
  <c r="B389" i="4"/>
  <c r="A390" i="3"/>
  <c r="D389" i="3"/>
  <c r="C389" i="4"/>
  <c r="B389" i="3"/>
  <c r="I161" i="3" l="1"/>
  <c r="N28" i="2" s="1"/>
  <c r="N29" i="2" s="1"/>
  <c r="C390" i="4"/>
  <c r="D390" i="3"/>
  <c r="B390" i="4"/>
  <c r="A391" i="3"/>
  <c r="B390" i="3"/>
  <c r="C162" i="3" l="1"/>
  <c r="N39" i="2"/>
  <c r="N52" i="2" s="1"/>
  <c r="N36" i="2" s="1"/>
  <c r="N34" i="2"/>
  <c r="N35" i="2"/>
  <c r="B391" i="4"/>
  <c r="D391" i="3"/>
  <c r="A392" i="3"/>
  <c r="C391" i="4"/>
  <c r="B391" i="3"/>
  <c r="E162" i="3"/>
  <c r="H162" i="3"/>
  <c r="J162" i="3" s="1"/>
  <c r="F162" i="3" l="1"/>
  <c r="G162" i="3" s="1"/>
  <c r="L162" i="3" s="1"/>
  <c r="C392" i="4"/>
  <c r="B392" i="3"/>
  <c r="B392" i="4"/>
  <c r="D392" i="3"/>
  <c r="A393" i="3"/>
  <c r="A394" i="3" l="1"/>
  <c r="C393" i="4"/>
  <c r="B393" i="3"/>
  <c r="D393" i="3"/>
  <c r="B393" i="4"/>
  <c r="I162" i="3"/>
  <c r="C163" i="3" s="1"/>
  <c r="B394" i="3" l="1"/>
  <c r="B394" i="4"/>
  <c r="A395" i="3"/>
  <c r="D394" i="3"/>
  <c r="C394" i="4"/>
  <c r="H163" i="3"/>
  <c r="J163" i="3" s="1"/>
  <c r="E163" i="3"/>
  <c r="D395" i="3" l="1"/>
  <c r="B395" i="4"/>
  <c r="C395" i="4"/>
  <c r="A396" i="3"/>
  <c r="B395" i="3"/>
  <c r="F163" i="3"/>
  <c r="G163" i="3" s="1"/>
  <c r="L163" i="3" s="1"/>
  <c r="I163" i="3" l="1"/>
  <c r="C164" i="3" s="1"/>
  <c r="H164" i="3" s="1"/>
  <c r="J164" i="3" s="1"/>
  <c r="A397" i="3"/>
  <c r="B396" i="4"/>
  <c r="D396" i="3"/>
  <c r="C396" i="4"/>
  <c r="B396" i="3"/>
  <c r="E164" i="3" l="1"/>
  <c r="B397" i="4"/>
  <c r="C397" i="4"/>
  <c r="D397" i="3"/>
  <c r="B397" i="3"/>
  <c r="A398" i="3"/>
  <c r="F164" i="3"/>
  <c r="G164" i="3" s="1"/>
  <c r="L164" i="3" s="1"/>
  <c r="I164" i="3" l="1"/>
  <c r="C165" i="3" s="1"/>
  <c r="E165" i="3" s="1"/>
  <c r="A399" i="3"/>
  <c r="B398" i="3"/>
  <c r="D398" i="3"/>
  <c r="C398" i="4"/>
  <c r="B398" i="4"/>
  <c r="H165" i="3" l="1"/>
  <c r="J165" i="3" s="1"/>
  <c r="F165" i="3"/>
  <c r="D399" i="3"/>
  <c r="C399" i="4"/>
  <c r="A400" i="3"/>
  <c r="B399" i="4"/>
  <c r="B399" i="3"/>
  <c r="G165" i="3" l="1"/>
  <c r="L165" i="3" s="1"/>
  <c r="I165" i="3"/>
  <c r="C166" i="3" s="1"/>
  <c r="H166" i="3" s="1"/>
  <c r="J166" i="3" s="1"/>
  <c r="B400" i="4"/>
  <c r="B400" i="3"/>
  <c r="C400" i="4"/>
  <c r="D400" i="3"/>
  <c r="A401" i="3"/>
  <c r="E166" i="3" l="1"/>
  <c r="F166" i="3" s="1"/>
  <c r="G166" i="3" s="1"/>
  <c r="L166" i="3" s="1"/>
  <c r="B401" i="3"/>
  <c r="D401" i="3"/>
  <c r="B401" i="4"/>
  <c r="C401" i="4"/>
  <c r="A402" i="3"/>
  <c r="D402" i="3" l="1"/>
  <c r="B402" i="4"/>
  <c r="B402" i="3"/>
  <c r="C402" i="4"/>
  <c r="A403" i="3"/>
  <c r="I166" i="3"/>
  <c r="C167" i="3" s="1"/>
  <c r="B403" i="3" l="1"/>
  <c r="B403" i="4"/>
  <c r="D403" i="3"/>
  <c r="C403" i="4"/>
  <c r="A404" i="3"/>
  <c r="H167" i="3"/>
  <c r="J167" i="3" s="1"/>
  <c r="E167" i="3"/>
  <c r="B404" i="3" l="1"/>
  <c r="D404" i="3"/>
  <c r="A405" i="3"/>
  <c r="C404" i="4"/>
  <c r="B404" i="4"/>
  <c r="F167" i="3"/>
  <c r="G167" i="3" s="1"/>
  <c r="L167" i="3" s="1"/>
  <c r="I167" i="3" l="1"/>
  <c r="C168" i="3" s="1"/>
  <c r="B405" i="4"/>
  <c r="A406" i="3"/>
  <c r="B405" i="3"/>
  <c r="D405" i="3"/>
  <c r="C405" i="4"/>
  <c r="B406" i="3" l="1"/>
  <c r="B406" i="4"/>
  <c r="C406" i="4"/>
  <c r="A407" i="3"/>
  <c r="D406" i="3"/>
  <c r="H168" i="3"/>
  <c r="J168" i="3" s="1"/>
  <c r="E168" i="3"/>
  <c r="B407" i="3" l="1"/>
  <c r="A408" i="3"/>
  <c r="B407" i="4"/>
  <c r="D407" i="3"/>
  <c r="C407" i="4"/>
  <c r="F168" i="3"/>
  <c r="G168" i="3" s="1"/>
  <c r="L168" i="3" s="1"/>
  <c r="I168" i="3" l="1"/>
  <c r="C169" i="3" s="1"/>
  <c r="E169" i="3" s="1"/>
  <c r="B408" i="3"/>
  <c r="A409" i="3"/>
  <c r="C408" i="4"/>
  <c r="B408" i="4"/>
  <c r="D408" i="3"/>
  <c r="H169" i="3" l="1"/>
  <c r="J169" i="3" s="1"/>
  <c r="B409" i="4"/>
  <c r="D409" i="3"/>
  <c r="C409" i="4"/>
  <c r="B409" i="3"/>
  <c r="A410" i="3"/>
  <c r="F169" i="3"/>
  <c r="G169" i="3" s="1"/>
  <c r="L169" i="3" s="1"/>
  <c r="C410" i="4" l="1"/>
  <c r="B410" i="4"/>
  <c r="D410" i="3"/>
  <c r="B410" i="3"/>
  <c r="A411" i="3"/>
  <c r="I169" i="3"/>
  <c r="C170" i="3" s="1"/>
  <c r="H170" i="3" l="1"/>
  <c r="J170" i="3" s="1"/>
  <c r="E170" i="3"/>
  <c r="B411" i="4"/>
  <c r="D411" i="3"/>
  <c r="C411" i="4"/>
  <c r="B411" i="3"/>
  <c r="A412" i="3"/>
  <c r="F170" i="3" l="1"/>
  <c r="G170" i="3" s="1"/>
  <c r="L170" i="3" s="1"/>
  <c r="C412" i="4"/>
  <c r="B412" i="4"/>
  <c r="B412" i="3"/>
  <c r="A413" i="3"/>
  <c r="D412" i="3"/>
  <c r="I170" i="3" l="1"/>
  <c r="C171" i="3" s="1"/>
  <c r="H171" i="3" s="1"/>
  <c r="J171" i="3" s="1"/>
  <c r="A414" i="3"/>
  <c r="D413" i="3"/>
  <c r="B413" i="4"/>
  <c r="B413" i="3"/>
  <c r="C413" i="4"/>
  <c r="E171" i="3" l="1"/>
  <c r="F171" i="3" s="1"/>
  <c r="G171" i="3" s="1"/>
  <c r="L171" i="3" s="1"/>
  <c r="B414" i="3"/>
  <c r="C414" i="4"/>
  <c r="A415" i="3"/>
  <c r="B414" i="4"/>
  <c r="D414" i="3"/>
  <c r="I171" i="3" l="1"/>
  <c r="C172" i="3" s="1"/>
  <c r="H172" i="3" s="1"/>
  <c r="J172" i="3" s="1"/>
  <c r="A416" i="3"/>
  <c r="B415" i="4"/>
  <c r="B415" i="3"/>
  <c r="D415" i="3"/>
  <c r="C415" i="4"/>
  <c r="E172" i="3" l="1"/>
  <c r="A417" i="3"/>
  <c r="B416" i="4"/>
  <c r="D416" i="3"/>
  <c r="B416" i="3"/>
  <c r="C416" i="4"/>
  <c r="F172" i="3"/>
  <c r="G172" i="3" s="1"/>
  <c r="L172" i="3" s="1"/>
  <c r="C417" i="4" l="1"/>
  <c r="B417" i="4"/>
  <c r="D417" i="3"/>
  <c r="B417" i="3"/>
  <c r="A418" i="3"/>
  <c r="I172" i="3"/>
  <c r="C173" i="3" s="1"/>
  <c r="H173" i="3" l="1"/>
  <c r="J173" i="3" s="1"/>
  <c r="K173" i="3" s="1"/>
  <c r="O24" i="2" s="1"/>
  <c r="E173" i="3"/>
  <c r="B418" i="4"/>
  <c r="D418" i="3"/>
  <c r="C418" i="4"/>
  <c r="B418" i="3"/>
  <c r="A419" i="3"/>
  <c r="F173" i="3" l="1"/>
  <c r="G173" i="3" s="1"/>
  <c r="L173" i="3" s="1"/>
  <c r="A420" i="3"/>
  <c r="B419" i="4"/>
  <c r="D419" i="3"/>
  <c r="C419" i="4"/>
  <c r="B419" i="3"/>
  <c r="A421" i="3" l="1"/>
  <c r="B420" i="3"/>
  <c r="D420" i="3"/>
  <c r="B420" i="4"/>
  <c r="C420" i="4"/>
  <c r="I173" i="3"/>
  <c r="D421" i="3" l="1"/>
  <c r="A422" i="3"/>
  <c r="B421" i="3"/>
  <c r="C421" i="4"/>
  <c r="B421" i="4"/>
  <c r="O28" i="2"/>
  <c r="O29" i="2" s="1"/>
  <c r="C174" i="3"/>
  <c r="O39" i="2" l="1"/>
  <c r="O53" i="2" s="1"/>
  <c r="O36" i="2" s="1"/>
  <c r="O34" i="2"/>
  <c r="O35" i="2"/>
  <c r="C422" i="4"/>
  <c r="D422" i="3"/>
  <c r="A423" i="3"/>
  <c r="B422" i="4"/>
  <c r="B422" i="3"/>
  <c r="E174" i="3"/>
  <c r="H174" i="3"/>
  <c r="J174" i="3" s="1"/>
  <c r="F174" i="3" l="1"/>
  <c r="G174" i="3" s="1"/>
  <c r="L174" i="3" s="1"/>
  <c r="C423" i="4"/>
  <c r="B423" i="3"/>
  <c r="A424" i="3"/>
  <c r="D423" i="3"/>
  <c r="B423" i="4"/>
  <c r="I174" i="3" l="1"/>
  <c r="C175" i="3" s="1"/>
  <c r="B424" i="4"/>
  <c r="B424" i="3"/>
  <c r="C424" i="4"/>
  <c r="A425" i="3"/>
  <c r="D424" i="3"/>
  <c r="C425" i="4" l="1"/>
  <c r="D425" i="3"/>
  <c r="B425" i="4"/>
  <c r="A426" i="3"/>
  <c r="B425" i="3"/>
  <c r="H175" i="3"/>
  <c r="J175" i="3" s="1"/>
  <c r="E175" i="3"/>
  <c r="F175" i="3" l="1"/>
  <c r="G175" i="3" s="1"/>
  <c r="L175" i="3" s="1"/>
  <c r="B426" i="3"/>
  <c r="C426" i="4"/>
  <c r="B426" i="4"/>
  <c r="D426" i="3"/>
  <c r="A427" i="3"/>
  <c r="D427" i="3" l="1"/>
  <c r="B427" i="3"/>
  <c r="B427" i="4"/>
  <c r="C427" i="4"/>
  <c r="A428" i="3"/>
  <c r="I175" i="3"/>
  <c r="C176" i="3" s="1"/>
  <c r="B428" i="4" l="1"/>
  <c r="C428" i="4"/>
  <c r="B428" i="3"/>
  <c r="D428" i="3"/>
  <c r="A429" i="3"/>
  <c r="H176" i="3"/>
  <c r="J176" i="3" s="1"/>
  <c r="E176" i="3"/>
  <c r="F176" i="3" l="1"/>
  <c r="G176" i="3" s="1"/>
  <c r="L176" i="3" s="1"/>
  <c r="B429" i="3"/>
  <c r="B429" i="4"/>
  <c r="D429" i="3"/>
  <c r="C429" i="4"/>
  <c r="A430" i="3"/>
  <c r="A431" i="3" l="1"/>
  <c r="D430" i="3"/>
  <c r="B430" i="3"/>
  <c r="C430" i="4"/>
  <c r="B430" i="4"/>
  <c r="I176" i="3"/>
  <c r="C177" i="3" s="1"/>
  <c r="H177" i="3" l="1"/>
  <c r="J177" i="3" s="1"/>
  <c r="E177" i="3"/>
  <c r="B431" i="3"/>
  <c r="D431" i="3"/>
  <c r="A432" i="3"/>
  <c r="C431" i="4"/>
  <c r="B431" i="4"/>
  <c r="F177" i="3" l="1"/>
  <c r="G177" i="3" s="1"/>
  <c r="L177" i="3" s="1"/>
  <c r="C432" i="4"/>
  <c r="B432" i="3"/>
  <c r="B432" i="4"/>
  <c r="A433" i="3"/>
  <c r="D432" i="3"/>
  <c r="C433" i="4" l="1"/>
  <c r="A434" i="3"/>
  <c r="B433" i="3"/>
  <c r="B433" i="4"/>
  <c r="D433" i="3"/>
  <c r="I177" i="3"/>
  <c r="C178" i="3" s="1"/>
  <c r="B434" i="3" l="1"/>
  <c r="A435" i="3"/>
  <c r="C434" i="4"/>
  <c r="B434" i="4"/>
  <c r="D434" i="3"/>
  <c r="H178" i="3"/>
  <c r="J178" i="3" s="1"/>
  <c r="E178" i="3"/>
  <c r="A436" i="3" l="1"/>
  <c r="B435" i="4"/>
  <c r="D435" i="3"/>
  <c r="B435" i="3"/>
  <c r="C435" i="4"/>
  <c r="F178" i="3"/>
  <c r="G178" i="3" s="1"/>
  <c r="L178" i="3" s="1"/>
  <c r="B436" i="4" l="1"/>
  <c r="B436" i="3"/>
  <c r="A437" i="3"/>
  <c r="C436" i="4"/>
  <c r="D436" i="3"/>
  <c r="I178" i="3"/>
  <c r="C179" i="3" s="1"/>
  <c r="E179" i="3" l="1"/>
  <c r="H179" i="3"/>
  <c r="J179" i="3" s="1"/>
  <c r="B437" i="3"/>
  <c r="C437" i="4"/>
  <c r="D437" i="3"/>
  <c r="A438" i="3"/>
  <c r="B437" i="4"/>
  <c r="F179" i="3" l="1"/>
  <c r="G179" i="3" s="1"/>
  <c r="L179" i="3" s="1"/>
  <c r="B438" i="4"/>
  <c r="C438" i="4"/>
  <c r="D438" i="3"/>
  <c r="A439" i="3"/>
  <c r="B438" i="3"/>
  <c r="I179" i="3" l="1"/>
  <c r="C180" i="3" s="1"/>
  <c r="A440" i="3"/>
  <c r="D439" i="3"/>
  <c r="B439" i="4"/>
  <c r="B439" i="3"/>
  <c r="C439" i="4"/>
  <c r="C440" i="4" l="1"/>
  <c r="B440" i="4"/>
  <c r="B440" i="3"/>
  <c r="D440" i="3"/>
  <c r="A441" i="3"/>
  <c r="H180" i="3"/>
  <c r="J180" i="3" s="1"/>
  <c r="E180" i="3"/>
  <c r="F180" i="3" l="1"/>
  <c r="G180" i="3" s="1"/>
  <c r="L180" i="3" s="1"/>
  <c r="B441" i="3"/>
  <c r="D441" i="3"/>
  <c r="A442" i="3"/>
  <c r="B441" i="4"/>
  <c r="C441" i="4"/>
  <c r="B442" i="4" l="1"/>
  <c r="B442" i="3"/>
  <c r="A443" i="3"/>
  <c r="C442" i="4"/>
  <c r="D442" i="3"/>
  <c r="I180" i="3"/>
  <c r="C181" i="3" s="1"/>
  <c r="H181" i="3" l="1"/>
  <c r="J181" i="3" s="1"/>
  <c r="E181" i="3"/>
  <c r="D443" i="3"/>
  <c r="B443" i="4"/>
  <c r="A444" i="3"/>
  <c r="B443" i="3"/>
  <c r="C443" i="4"/>
  <c r="B444" i="3" l="1"/>
  <c r="D444" i="3"/>
  <c r="A445" i="3"/>
  <c r="C444" i="4"/>
  <c r="B444" i="4"/>
  <c r="F181" i="3"/>
  <c r="G181" i="3" s="1"/>
  <c r="L181" i="3" s="1"/>
  <c r="I181" i="3" l="1"/>
  <c r="C182" i="3" s="1"/>
  <c r="H182" i="3" s="1"/>
  <c r="J182" i="3" s="1"/>
  <c r="C445" i="4"/>
  <c r="A446" i="3"/>
  <c r="D445" i="3"/>
  <c r="B445" i="4"/>
  <c r="B445" i="3"/>
  <c r="E182" i="3" l="1"/>
  <c r="F182" i="3" s="1"/>
  <c r="G182" i="3" s="1"/>
  <c r="L182" i="3" s="1"/>
  <c r="B446" i="4"/>
  <c r="D446" i="3"/>
  <c r="A447" i="3"/>
  <c r="B446" i="3"/>
  <c r="C446" i="4"/>
  <c r="I182" i="3" l="1"/>
  <c r="C183" i="3" s="1"/>
  <c r="H183" i="3" s="1"/>
  <c r="J183" i="3" s="1"/>
  <c r="B447" i="4"/>
  <c r="B447" i="3"/>
  <c r="C447" i="4"/>
  <c r="A448" i="3"/>
  <c r="D447" i="3"/>
  <c r="E183" i="3" l="1"/>
  <c r="F183" i="3" s="1"/>
  <c r="G183" i="3" s="1"/>
  <c r="L183" i="3" s="1"/>
  <c r="D448" i="3"/>
  <c r="A449" i="3"/>
  <c r="B448" i="3"/>
  <c r="C448" i="4"/>
  <c r="B448" i="4"/>
  <c r="I183" i="3" l="1"/>
  <c r="C184" i="3" s="1"/>
  <c r="H184" i="3" s="1"/>
  <c r="J184" i="3" s="1"/>
  <c r="B449" i="3"/>
  <c r="B449" i="4"/>
  <c r="C449" i="4"/>
  <c r="D449" i="3"/>
  <c r="A450" i="3"/>
  <c r="E184" i="3" l="1"/>
  <c r="F184" i="3" s="1"/>
  <c r="G184" i="3" s="1"/>
  <c r="L184" i="3" s="1"/>
  <c r="A451" i="3"/>
  <c r="B450" i="3"/>
  <c r="B450" i="4"/>
  <c r="C450" i="4"/>
  <c r="D450" i="3"/>
  <c r="I184" i="3" l="1"/>
  <c r="C185" i="3" s="1"/>
  <c r="H185" i="3" s="1"/>
  <c r="J185" i="3" s="1"/>
  <c r="K185" i="3" s="1"/>
  <c r="P24" i="2" s="1"/>
  <c r="A452" i="3"/>
  <c r="D451" i="3"/>
  <c r="C451" i="4"/>
  <c r="B451" i="4"/>
  <c r="B451" i="3"/>
  <c r="E185" i="3" l="1"/>
  <c r="F185" i="3" s="1"/>
  <c r="G185" i="3" s="1"/>
  <c r="L185" i="3" s="1"/>
  <c r="C452" i="4"/>
  <c r="B452" i="3"/>
  <c r="A453" i="3"/>
  <c r="B452" i="4"/>
  <c r="D452" i="3"/>
  <c r="I185" i="3" l="1"/>
  <c r="B453" i="4"/>
  <c r="D453" i="3"/>
  <c r="B453" i="3"/>
  <c r="A454" i="3"/>
  <c r="C453" i="4"/>
  <c r="C454" i="4" l="1"/>
  <c r="B454" i="4"/>
  <c r="D454" i="3"/>
  <c r="B454" i="3"/>
  <c r="A455" i="3"/>
  <c r="P28" i="2"/>
  <c r="P29" i="2" s="1"/>
  <c r="C186" i="3"/>
  <c r="B455" i="3" l="1"/>
  <c r="B455" i="4"/>
  <c r="D455" i="3"/>
  <c r="C455" i="4"/>
  <c r="A456" i="3"/>
  <c r="H186" i="3"/>
  <c r="J186" i="3" s="1"/>
  <c r="E186" i="3"/>
  <c r="P39" i="2"/>
  <c r="P54" i="2" s="1"/>
  <c r="P36" i="2" s="1"/>
  <c r="P34" i="2"/>
  <c r="P35" i="2"/>
  <c r="F186" i="3" l="1"/>
  <c r="G186" i="3" s="1"/>
  <c r="L186" i="3" s="1"/>
  <c r="C456" i="4"/>
  <c r="A457" i="3"/>
  <c r="B456" i="4"/>
  <c r="B456" i="3"/>
  <c r="D456" i="3"/>
  <c r="I186" i="3" l="1"/>
  <c r="C187" i="3" s="1"/>
  <c r="H187" i="3" s="1"/>
  <c r="J187" i="3" s="1"/>
  <c r="B457" i="4"/>
  <c r="A458" i="3"/>
  <c r="D457" i="3"/>
  <c r="B457" i="3"/>
  <c r="C457" i="4"/>
  <c r="E187" i="3" l="1"/>
  <c r="F187" i="3" s="1"/>
  <c r="G187" i="3" s="1"/>
  <c r="L187" i="3" s="1"/>
  <c r="B458" i="3"/>
  <c r="D458" i="3"/>
  <c r="C458" i="4"/>
  <c r="A459" i="3"/>
  <c r="B458" i="4"/>
  <c r="B459" i="3" l="1"/>
  <c r="A460" i="3"/>
  <c r="D459" i="3"/>
  <c r="B459" i="4"/>
  <c r="C459" i="4"/>
  <c r="I187" i="3"/>
  <c r="C188" i="3" s="1"/>
  <c r="D460" i="3" l="1"/>
  <c r="B460" i="4"/>
  <c r="C460" i="4"/>
  <c r="B460" i="3"/>
  <c r="A461" i="3"/>
  <c r="E188" i="3"/>
  <c r="H188" i="3"/>
  <c r="J188" i="3" s="1"/>
  <c r="F188" i="3" l="1"/>
  <c r="G188" i="3" s="1"/>
  <c r="L188" i="3" s="1"/>
  <c r="B461" i="4"/>
  <c r="A462" i="3"/>
  <c r="B461" i="3"/>
  <c r="C461" i="4"/>
  <c r="D461" i="3"/>
  <c r="A463" i="3" l="1"/>
  <c r="D462" i="3"/>
  <c r="C462" i="4"/>
  <c r="B462" i="4"/>
  <c r="B462" i="3"/>
  <c r="I188" i="3"/>
  <c r="C189" i="3" s="1"/>
  <c r="H189" i="3" l="1"/>
  <c r="J189" i="3" s="1"/>
  <c r="E189" i="3"/>
  <c r="D463" i="3"/>
  <c r="C463" i="4"/>
  <c r="B463" i="3"/>
  <c r="B463" i="4"/>
  <c r="A464" i="3"/>
  <c r="F189" i="3" l="1"/>
  <c r="G189" i="3" s="1"/>
  <c r="L189" i="3" s="1"/>
  <c r="B464" i="3"/>
  <c r="D464" i="3"/>
  <c r="B464" i="4"/>
  <c r="A465" i="3"/>
  <c r="C464" i="4"/>
  <c r="I189" i="3" l="1"/>
  <c r="C190" i="3" s="1"/>
  <c r="H190" i="3" s="1"/>
  <c r="J190" i="3" s="1"/>
  <c r="B465" i="3"/>
  <c r="A466" i="3"/>
  <c r="D465" i="3"/>
  <c r="B465" i="4"/>
  <c r="C465" i="4"/>
  <c r="E190" i="3" l="1"/>
  <c r="B466" i="4"/>
  <c r="C466" i="4"/>
  <c r="A467" i="3"/>
  <c r="B466" i="3"/>
  <c r="D466" i="3"/>
  <c r="F190" i="3"/>
  <c r="G190" i="3" s="1"/>
  <c r="L190" i="3" s="1"/>
  <c r="B467" i="4" l="1"/>
  <c r="A468" i="3"/>
  <c r="D467" i="3"/>
  <c r="C467" i="4"/>
  <c r="B467" i="3"/>
  <c r="I190" i="3"/>
  <c r="C191" i="3" s="1"/>
  <c r="B468" i="3" l="1"/>
  <c r="C468" i="4"/>
  <c r="A469" i="3"/>
  <c r="B468" i="4"/>
  <c r="D468" i="3"/>
  <c r="H191" i="3"/>
  <c r="J191" i="3" s="1"/>
  <c r="E191" i="3"/>
  <c r="F191" i="3" l="1"/>
  <c r="G191" i="3" s="1"/>
  <c r="L191" i="3" s="1"/>
  <c r="D469" i="3"/>
  <c r="C469" i="4"/>
  <c r="A470" i="3"/>
  <c r="B469" i="3"/>
  <c r="B469" i="4"/>
  <c r="I191" i="3" l="1"/>
  <c r="C192" i="3" s="1"/>
  <c r="H192" i="3" s="1"/>
  <c r="J192" i="3" s="1"/>
  <c r="B470" i="4"/>
  <c r="D470" i="3"/>
  <c r="B470" i="3"/>
  <c r="C470" i="4"/>
  <c r="A471" i="3"/>
  <c r="E192" i="3" l="1"/>
  <c r="F192" i="3" s="1"/>
  <c r="G192" i="3" s="1"/>
  <c r="A472" i="3"/>
  <c r="B471" i="4"/>
  <c r="B471" i="3"/>
  <c r="D471" i="3"/>
  <c r="C471" i="4"/>
  <c r="L192" i="3" l="1"/>
  <c r="I192" i="3"/>
  <c r="C193" i="3" s="1"/>
  <c r="H193" i="3" s="1"/>
  <c r="J193" i="3" s="1"/>
  <c r="B472" i="4"/>
  <c r="A473" i="3"/>
  <c r="D472" i="3"/>
  <c r="B472" i="3"/>
  <c r="C472" i="4"/>
  <c r="E193" i="3" l="1"/>
  <c r="C473" i="4"/>
  <c r="A474" i="3"/>
  <c r="B473" i="3"/>
  <c r="D473" i="3"/>
  <c r="B473" i="4"/>
  <c r="F193" i="3"/>
  <c r="G193" i="3" s="1"/>
  <c r="L193" i="3" s="1"/>
  <c r="I193" i="3" l="1"/>
  <c r="C194" i="3" s="1"/>
  <c r="H194" i="3" s="1"/>
  <c r="J194" i="3" s="1"/>
  <c r="C474" i="4"/>
  <c r="A475" i="3"/>
  <c r="D474" i="3"/>
  <c r="B474" i="4"/>
  <c r="B474" i="3"/>
  <c r="E194" i="3" l="1"/>
  <c r="F194" i="3" s="1"/>
  <c r="G194" i="3" s="1"/>
  <c r="L194" i="3" s="1"/>
  <c r="C475" i="4"/>
  <c r="B475" i="4"/>
  <c r="A476" i="3"/>
  <c r="B475" i="3"/>
  <c r="D475" i="3"/>
  <c r="I194" i="3" l="1"/>
  <c r="C195" i="3" s="1"/>
  <c r="H195" i="3" s="1"/>
  <c r="J195" i="3" s="1"/>
  <c r="C476" i="4"/>
  <c r="D476" i="3"/>
  <c r="B476" i="3"/>
  <c r="B476" i="4"/>
  <c r="A477" i="3"/>
  <c r="E195" i="3"/>
  <c r="F195" i="3" l="1"/>
  <c r="G195" i="3" s="1"/>
  <c r="L195" i="3" s="1"/>
  <c r="B477" i="3"/>
  <c r="A478" i="3"/>
  <c r="C477" i="4"/>
  <c r="B477" i="4"/>
  <c r="D477" i="3"/>
  <c r="I195" i="3" l="1"/>
  <c r="C196" i="3" s="1"/>
  <c r="D478" i="3"/>
  <c r="B478" i="4"/>
  <c r="B478" i="3"/>
  <c r="C478" i="4"/>
  <c r="A479" i="3"/>
  <c r="H196" i="3" l="1"/>
  <c r="J196" i="3" s="1"/>
  <c r="E196" i="3"/>
  <c r="C479" i="4"/>
  <c r="B479" i="4"/>
  <c r="A480" i="3"/>
  <c r="B479" i="3"/>
  <c r="D479" i="3"/>
  <c r="F196" i="3" l="1"/>
  <c r="G196" i="3" s="1"/>
  <c r="L196" i="3" s="1"/>
  <c r="B480" i="3"/>
  <c r="B480" i="4"/>
  <c r="C480" i="4"/>
  <c r="D480" i="3"/>
  <c r="A481" i="3"/>
  <c r="I196" i="3" l="1"/>
  <c r="C197" i="3" s="1"/>
  <c r="E197" i="3" s="1"/>
  <c r="B481" i="3"/>
  <c r="B481" i="4"/>
  <c r="D481" i="3"/>
  <c r="C481" i="4"/>
  <c r="A482" i="3"/>
  <c r="H197" i="3" l="1"/>
  <c r="J197" i="3" s="1"/>
  <c r="K197" i="3" s="1"/>
  <c r="Q24" i="2" s="1"/>
  <c r="F197" i="3"/>
  <c r="B482" i="3"/>
  <c r="B482" i="4"/>
  <c r="C482" i="4"/>
  <c r="D482" i="3"/>
  <c r="A483" i="3"/>
  <c r="G197" i="3" l="1"/>
  <c r="L197" i="3" s="1"/>
  <c r="D483" i="3"/>
  <c r="C483" i="4"/>
  <c r="B483" i="4"/>
  <c r="B483" i="3"/>
  <c r="A484" i="3"/>
  <c r="I197" i="3" l="1"/>
  <c r="A485" i="3"/>
  <c r="C484" i="4"/>
  <c r="B484" i="3"/>
  <c r="D484" i="3"/>
  <c r="B484" i="4"/>
  <c r="Q28" i="2" l="1"/>
  <c r="Q29" i="2" s="1"/>
  <c r="C198" i="3"/>
  <c r="A486" i="3"/>
  <c r="B485" i="3"/>
  <c r="D485" i="3"/>
  <c r="C485" i="4"/>
  <c r="B485" i="4"/>
  <c r="H198" i="3" l="1"/>
  <c r="J198" i="3" s="1"/>
  <c r="E198" i="3"/>
  <c r="F198" i="3" s="1"/>
  <c r="G198" i="3" s="1"/>
  <c r="L198" i="3" s="1"/>
  <c r="Q39" i="2"/>
  <c r="Q55" i="2" s="1"/>
  <c r="Q36" i="2" s="1"/>
  <c r="Q34" i="2"/>
  <c r="Q35" i="2"/>
  <c r="I198" i="3"/>
  <c r="C199" i="3" s="1"/>
  <c r="E199" i="3" s="1"/>
  <c r="D486" i="3"/>
  <c r="B486" i="3"/>
  <c r="A487" i="3"/>
  <c r="B486" i="4"/>
  <c r="C486" i="4"/>
  <c r="H199" i="3" l="1"/>
  <c r="J199" i="3" s="1"/>
  <c r="D487" i="3"/>
  <c r="B487" i="3"/>
  <c r="C487" i="4"/>
  <c r="B487" i="4"/>
  <c r="A488" i="3"/>
  <c r="F199" i="3"/>
  <c r="G199" i="3" s="1"/>
  <c r="L199" i="3" s="1"/>
  <c r="I199" i="3" l="1"/>
  <c r="C200" i="3" s="1"/>
  <c r="E200" i="3" s="1"/>
  <c r="A489" i="3"/>
  <c r="C488" i="4"/>
  <c r="D488" i="3"/>
  <c r="B488" i="3"/>
  <c r="B488" i="4"/>
  <c r="H200" i="3" l="1"/>
  <c r="J200" i="3" s="1"/>
  <c r="D489" i="3"/>
  <c r="B489" i="4"/>
  <c r="B489" i="3"/>
  <c r="A490" i="3"/>
  <c r="C489" i="4"/>
  <c r="F200" i="3"/>
  <c r="G200" i="3" s="1"/>
  <c r="L200" i="3" s="1"/>
  <c r="I200" i="3" l="1"/>
  <c r="C201" i="3" s="1"/>
  <c r="B490" i="4"/>
  <c r="A491" i="3"/>
  <c r="B490" i="3"/>
  <c r="D490" i="3"/>
  <c r="C490" i="4"/>
  <c r="C491" i="4" l="1"/>
  <c r="A492" i="3"/>
  <c r="B491" i="3"/>
  <c r="D491" i="3"/>
  <c r="B491" i="4"/>
  <c r="E201" i="3"/>
  <c r="H201" i="3"/>
  <c r="J201" i="3" s="1"/>
  <c r="F201" i="3" l="1"/>
  <c r="G201" i="3" s="1"/>
  <c r="L201" i="3" s="1"/>
  <c r="D492" i="3"/>
  <c r="B492" i="3"/>
  <c r="A493" i="3"/>
  <c r="B492" i="4"/>
  <c r="C492" i="4"/>
  <c r="I201" i="3" l="1"/>
  <c r="C202" i="3" s="1"/>
  <c r="H202" i="3" s="1"/>
  <c r="J202" i="3" s="1"/>
  <c r="B493" i="4"/>
  <c r="C493" i="4"/>
  <c r="A494" i="3"/>
  <c r="B493" i="3"/>
  <c r="D493" i="3"/>
  <c r="E202" i="3" l="1"/>
  <c r="F202" i="3" s="1"/>
  <c r="G202" i="3" s="1"/>
  <c r="L202" i="3" s="1"/>
  <c r="C494" i="4"/>
  <c r="A495" i="3"/>
  <c r="D494" i="3"/>
  <c r="B494" i="3"/>
  <c r="B494" i="4"/>
  <c r="I202" i="3" l="1"/>
  <c r="C203" i="3" s="1"/>
  <c r="H203" i="3" s="1"/>
  <c r="J203" i="3" s="1"/>
  <c r="B495" i="4"/>
  <c r="C495" i="4"/>
  <c r="B495" i="3"/>
  <c r="D495" i="3"/>
  <c r="A496" i="3"/>
  <c r="E203" i="3" l="1"/>
  <c r="F203" i="3" s="1"/>
  <c r="G203" i="3" s="1"/>
  <c r="L203" i="3" s="1"/>
  <c r="C496" i="4"/>
  <c r="B496" i="4"/>
  <c r="D496" i="3"/>
  <c r="B496" i="3"/>
  <c r="A497" i="3"/>
  <c r="I203" i="3" l="1"/>
  <c r="C204" i="3" s="1"/>
  <c r="H204" i="3" s="1"/>
  <c r="J204" i="3" s="1"/>
  <c r="D497" i="3"/>
  <c r="C497" i="4"/>
  <c r="B497" i="3"/>
  <c r="B497" i="4"/>
  <c r="E204" i="3" l="1"/>
  <c r="F204" i="3" s="1"/>
  <c r="G204" i="3" s="1"/>
  <c r="L204" i="3" s="1"/>
  <c r="I204" i="3" l="1"/>
  <c r="C205" i="3" s="1"/>
  <c r="H205" i="3" l="1"/>
  <c r="J205" i="3" s="1"/>
  <c r="E205" i="3"/>
  <c r="F205" i="3" l="1"/>
  <c r="G205" i="3" s="1"/>
  <c r="L205" i="3" s="1"/>
  <c r="I205" i="3" l="1"/>
  <c r="C206" i="3" s="1"/>
  <c r="H206" i="3" l="1"/>
  <c r="J206" i="3" s="1"/>
  <c r="E206" i="3"/>
  <c r="F206" i="3" l="1"/>
  <c r="G206" i="3" s="1"/>
  <c r="L206" i="3" s="1"/>
  <c r="I206" i="3" l="1"/>
  <c r="C207" i="3" s="1"/>
  <c r="H207" i="3" l="1"/>
  <c r="J207" i="3" s="1"/>
  <c r="E207" i="3"/>
  <c r="F207" i="3" l="1"/>
  <c r="G207" i="3" s="1"/>
  <c r="L207" i="3" s="1"/>
  <c r="I207" i="3" l="1"/>
  <c r="C208" i="3" s="1"/>
  <c r="E208" i="3" s="1"/>
  <c r="H208" i="3" l="1"/>
  <c r="J208" i="3" s="1"/>
  <c r="F208" i="3"/>
  <c r="G208" i="3" s="1"/>
  <c r="L208" i="3" s="1"/>
  <c r="I208" i="3" l="1"/>
  <c r="C209" i="3" s="1"/>
  <c r="H209" i="3" l="1"/>
  <c r="J209" i="3" s="1"/>
  <c r="K209" i="3" s="1"/>
  <c r="R24" i="2" s="1"/>
  <c r="E209" i="3"/>
  <c r="F209" i="3" l="1"/>
  <c r="G209" i="3" s="1"/>
  <c r="L209" i="3" s="1"/>
  <c r="I209" i="3" l="1"/>
  <c r="R28" i="2" s="1"/>
  <c r="R29" i="2" s="1"/>
  <c r="C210" i="3" l="1"/>
  <c r="H210" i="3"/>
  <c r="J210" i="3" s="1"/>
  <c r="E210" i="3"/>
  <c r="R39" i="2"/>
  <c r="R56" i="2" s="1"/>
  <c r="R36" i="2" s="1"/>
  <c r="R35" i="2"/>
  <c r="R34" i="2"/>
  <c r="F210" i="3" l="1"/>
  <c r="G210" i="3" s="1"/>
  <c r="L210" i="3" s="1"/>
  <c r="I210" i="3" l="1"/>
  <c r="C211" i="3" s="1"/>
  <c r="E211" i="3" l="1"/>
  <c r="H211" i="3"/>
  <c r="J211" i="3" s="1"/>
  <c r="F211" i="3" l="1"/>
  <c r="G211" i="3" s="1"/>
  <c r="L211" i="3" s="1"/>
  <c r="I211" i="3" l="1"/>
  <c r="C212" i="3" s="1"/>
  <c r="H212" i="3" s="1"/>
  <c r="J212" i="3" s="1"/>
  <c r="E212" i="3" l="1"/>
  <c r="F212" i="3" s="1"/>
  <c r="G212" i="3" s="1"/>
  <c r="L212" i="3" s="1"/>
  <c r="I212" i="3" l="1"/>
  <c r="C213" i="3" s="1"/>
  <c r="E213" i="3" s="1"/>
  <c r="H213" i="3" l="1"/>
  <c r="J213" i="3" s="1"/>
  <c r="F213" i="3"/>
  <c r="G213" i="3" l="1"/>
  <c r="L213" i="3" s="1"/>
  <c r="I213" i="3"/>
  <c r="C214" i="3" s="1"/>
  <c r="H214" i="3" s="1"/>
  <c r="J214" i="3" s="1"/>
  <c r="E214" i="3" l="1"/>
  <c r="F214" i="3" s="1"/>
  <c r="G214" i="3" s="1"/>
  <c r="L214" i="3" s="1"/>
  <c r="I214" i="3" l="1"/>
  <c r="C215" i="3" s="1"/>
  <c r="E215" i="3" l="1"/>
  <c r="H215" i="3"/>
  <c r="J215" i="3" s="1"/>
  <c r="F215" i="3" l="1"/>
  <c r="G215" i="3" s="1"/>
  <c r="L215" i="3" s="1"/>
  <c r="I215" i="3" l="1"/>
  <c r="C216" i="3" s="1"/>
  <c r="H216" i="3" s="1"/>
  <c r="J216" i="3" s="1"/>
  <c r="E216" i="3" l="1"/>
  <c r="F216" i="3" s="1"/>
  <c r="G216" i="3" s="1"/>
  <c r="L216" i="3" s="1"/>
  <c r="I216" i="3" l="1"/>
  <c r="C217" i="3" s="1"/>
  <c r="H217" i="3" l="1"/>
  <c r="J217" i="3" s="1"/>
  <c r="E217" i="3"/>
  <c r="F217" i="3" l="1"/>
  <c r="G217" i="3" s="1"/>
  <c r="L217" i="3" s="1"/>
  <c r="I217" i="3" l="1"/>
  <c r="C218" i="3" s="1"/>
  <c r="E218" i="3" l="1"/>
  <c r="H218" i="3"/>
  <c r="J218" i="3" s="1"/>
  <c r="F218" i="3" l="1"/>
  <c r="G218" i="3" s="1"/>
  <c r="L218" i="3" s="1"/>
  <c r="I218" i="3" l="1"/>
  <c r="C219" i="3" s="1"/>
  <c r="H219" i="3" l="1"/>
  <c r="J219" i="3" s="1"/>
  <c r="E219" i="3"/>
  <c r="F219" i="3" l="1"/>
  <c r="G219" i="3" s="1"/>
  <c r="L219" i="3" s="1"/>
  <c r="I219" i="3" l="1"/>
  <c r="C220" i="3" s="1"/>
  <c r="E220" i="3" s="1"/>
  <c r="H220" i="3" l="1"/>
  <c r="J220" i="3" s="1"/>
  <c r="F220" i="3"/>
  <c r="G220" i="3" s="1"/>
  <c r="L220" i="3" s="1"/>
  <c r="I220" i="3" l="1"/>
  <c r="C221" i="3" s="1"/>
  <c r="H221" i="3" l="1"/>
  <c r="J221" i="3" s="1"/>
  <c r="K221" i="3" s="1"/>
  <c r="S24" i="2" s="1"/>
  <c r="E221" i="3"/>
  <c r="F221" i="3" l="1"/>
  <c r="G221" i="3" s="1"/>
  <c r="L221" i="3" s="1"/>
  <c r="I221" i="3" l="1"/>
  <c r="S28" i="2" s="1"/>
  <c r="S29" i="2" s="1"/>
  <c r="C222" i="3" l="1"/>
  <c r="H222" i="3" s="1"/>
  <c r="J222" i="3" s="1"/>
  <c r="S39" i="2"/>
  <c r="S57" i="2" s="1"/>
  <c r="S36" i="2" s="1"/>
  <c r="S34" i="2"/>
  <c r="S35" i="2"/>
  <c r="E222" i="3" l="1"/>
  <c r="F222" i="3" s="1"/>
  <c r="G222" i="3" s="1"/>
  <c r="L222" i="3" s="1"/>
  <c r="I222" i="3" l="1"/>
  <c r="C223" i="3" s="1"/>
  <c r="H223" i="3" s="1"/>
  <c r="J223" i="3" s="1"/>
  <c r="E223" i="3" l="1"/>
  <c r="F223" i="3" s="1"/>
  <c r="G223" i="3" s="1"/>
  <c r="L223" i="3" s="1"/>
  <c r="I223" i="3" l="1"/>
  <c r="C224" i="3" s="1"/>
  <c r="H224" i="3" s="1"/>
  <c r="J224" i="3" s="1"/>
  <c r="E224" i="3" l="1"/>
  <c r="F224" i="3" s="1"/>
  <c r="G224" i="3" s="1"/>
  <c r="L224" i="3" l="1"/>
  <c r="I224" i="3"/>
  <c r="C225" i="3" s="1"/>
  <c r="H225" i="3" s="1"/>
  <c r="J225" i="3" s="1"/>
  <c r="E225" i="3" l="1"/>
  <c r="F225" i="3" s="1"/>
  <c r="G225" i="3" s="1"/>
  <c r="L225" i="3" s="1"/>
  <c r="I225" i="3" l="1"/>
  <c r="C226" i="3" s="1"/>
  <c r="E226" i="3" s="1"/>
  <c r="H226" i="3" l="1"/>
  <c r="J226" i="3" s="1"/>
  <c r="F226" i="3"/>
  <c r="G226" i="3" s="1"/>
  <c r="L226" i="3" s="1"/>
  <c r="I226" i="3" l="1"/>
  <c r="C227" i="3" s="1"/>
  <c r="H227" i="3" s="1"/>
  <c r="J227" i="3" s="1"/>
  <c r="E227" i="3" l="1"/>
  <c r="F227" i="3" s="1"/>
  <c r="G227" i="3" s="1"/>
  <c r="L227" i="3" s="1"/>
  <c r="I227" i="3" l="1"/>
  <c r="C228" i="3" s="1"/>
  <c r="H228" i="3" s="1"/>
  <c r="J228" i="3" s="1"/>
  <c r="E228" i="3" l="1"/>
  <c r="F228" i="3" s="1"/>
  <c r="G228" i="3" s="1"/>
  <c r="L228" i="3" s="1"/>
  <c r="I228" i="3" l="1"/>
  <c r="C229" i="3" s="1"/>
  <c r="E229" i="3" l="1"/>
  <c r="H229" i="3"/>
  <c r="J229" i="3" s="1"/>
  <c r="F229" i="3" l="1"/>
  <c r="G229" i="3" s="1"/>
  <c r="L229" i="3" s="1"/>
  <c r="I229" i="3" l="1"/>
  <c r="C230" i="3" s="1"/>
  <c r="H230" i="3" l="1"/>
  <c r="J230" i="3" s="1"/>
  <c r="E230" i="3"/>
  <c r="F230" i="3" l="1"/>
  <c r="G230" i="3" s="1"/>
  <c r="L230" i="3" s="1"/>
  <c r="I230" i="3" l="1"/>
  <c r="C231" i="3" s="1"/>
  <c r="H231" i="3" l="1"/>
  <c r="J231" i="3" s="1"/>
  <c r="E231" i="3"/>
  <c r="F231" i="3" l="1"/>
  <c r="G231" i="3" s="1"/>
  <c r="L231" i="3" s="1"/>
  <c r="I231" i="3" l="1"/>
  <c r="C232" i="3" s="1"/>
  <c r="H232" i="3" s="1"/>
  <c r="J232" i="3" s="1"/>
  <c r="E232" i="3" l="1"/>
  <c r="F232" i="3" s="1"/>
  <c r="G232" i="3" s="1"/>
  <c r="L232" i="3" s="1"/>
  <c r="I232" i="3" l="1"/>
  <c r="C233" i="3" s="1"/>
  <c r="H233" i="3" s="1"/>
  <c r="J233" i="3" s="1"/>
  <c r="K233" i="3" s="1"/>
  <c r="T24" i="2" s="1"/>
  <c r="E233" i="3" l="1"/>
  <c r="F233" i="3" s="1"/>
  <c r="G233" i="3" s="1"/>
  <c r="L233" i="3" s="1"/>
  <c r="I233" i="3" l="1"/>
  <c r="T28" i="2" s="1"/>
  <c r="T29" i="2" s="1"/>
  <c r="C234" i="3" l="1"/>
  <c r="H234" i="3" s="1"/>
  <c r="J234" i="3" s="1"/>
  <c r="T39" i="2"/>
  <c r="T58" i="2" s="1"/>
  <c r="T36" i="2" s="1"/>
  <c r="T34" i="2"/>
  <c r="T35" i="2"/>
  <c r="E234" i="3" l="1"/>
  <c r="F234" i="3" s="1"/>
  <c r="G234" i="3" s="1"/>
  <c r="L234" i="3" s="1"/>
  <c r="I234" i="3" l="1"/>
  <c r="C235" i="3" s="1"/>
  <c r="H235" i="3" s="1"/>
  <c r="J235" i="3" s="1"/>
  <c r="E235" i="3" l="1"/>
  <c r="F235" i="3"/>
  <c r="G235" i="3" s="1"/>
  <c r="L235" i="3" s="1"/>
  <c r="I235" i="3" l="1"/>
  <c r="C236" i="3" s="1"/>
  <c r="H236" i="3" s="1"/>
  <c r="J236" i="3" s="1"/>
  <c r="E236" i="3" l="1"/>
  <c r="F236" i="3" s="1"/>
  <c r="G236" i="3" s="1"/>
  <c r="L236" i="3" l="1"/>
  <c r="I236" i="3"/>
  <c r="C237" i="3" s="1"/>
  <c r="E237" i="3" s="1"/>
  <c r="H237" i="3" l="1"/>
  <c r="J237" i="3" s="1"/>
  <c r="F237" i="3"/>
  <c r="G237" i="3" l="1"/>
  <c r="L237" i="3" s="1"/>
  <c r="I237" i="3"/>
  <c r="C238" i="3" s="1"/>
  <c r="H238" i="3" l="1"/>
  <c r="J238" i="3" s="1"/>
  <c r="E238" i="3"/>
  <c r="F238" i="3" l="1"/>
  <c r="G238" i="3" s="1"/>
  <c r="L238" i="3" s="1"/>
  <c r="I238" i="3" l="1"/>
  <c r="C239" i="3" s="1"/>
  <c r="H239" i="3" s="1"/>
  <c r="J239" i="3" s="1"/>
  <c r="E239" i="3" l="1"/>
  <c r="F239" i="3"/>
  <c r="G239" i="3" s="1"/>
  <c r="L239" i="3" s="1"/>
  <c r="I239" i="3" l="1"/>
  <c r="C240" i="3" s="1"/>
  <c r="H240" i="3" s="1"/>
  <c r="J240" i="3" s="1"/>
  <c r="E240" i="3" l="1"/>
  <c r="F240" i="3" s="1"/>
  <c r="G240" i="3" s="1"/>
  <c r="L240" i="3" s="1"/>
  <c r="I240" i="3" l="1"/>
  <c r="C241" i="3" s="1"/>
  <c r="H241" i="3" s="1"/>
  <c r="J241" i="3" s="1"/>
  <c r="E241" i="3" l="1"/>
  <c r="F241" i="3" s="1"/>
  <c r="G241" i="3" s="1"/>
  <c r="L241" i="3" s="1"/>
  <c r="I241" i="3" l="1"/>
  <c r="C242" i="3" s="1"/>
  <c r="H242" i="3" l="1"/>
  <c r="J242" i="3" s="1"/>
  <c r="E242" i="3"/>
  <c r="F242" i="3" l="1"/>
  <c r="G242" i="3" s="1"/>
  <c r="L242" i="3" s="1"/>
  <c r="I242" i="3" l="1"/>
  <c r="C243" i="3" s="1"/>
  <c r="H243" i="3" s="1"/>
  <c r="J243" i="3" s="1"/>
  <c r="E243" i="3" l="1"/>
  <c r="F243" i="3" s="1"/>
  <c r="G243" i="3" s="1"/>
  <c r="L243" i="3" s="1"/>
  <c r="I243" i="3" l="1"/>
  <c r="C244" i="3" s="1"/>
  <c r="H244" i="3" l="1"/>
  <c r="J244" i="3" s="1"/>
  <c r="E244" i="3"/>
  <c r="F244" i="3" l="1"/>
  <c r="G244" i="3" s="1"/>
  <c r="L244" i="3" s="1"/>
  <c r="I244" i="3" l="1"/>
  <c r="C245" i="3" s="1"/>
  <c r="E245" i="3" l="1"/>
  <c r="H245" i="3"/>
  <c r="J245" i="3" s="1"/>
  <c r="K245" i="3" s="1"/>
  <c r="F245" i="3" l="1"/>
  <c r="G245" i="3" s="1"/>
  <c r="L245" i="3" s="1"/>
  <c r="I245" i="3" l="1"/>
  <c r="U28" i="2" l="1"/>
  <c r="U29" i="2" s="1"/>
  <c r="C246" i="3"/>
  <c r="H246" i="3" l="1"/>
  <c r="J246" i="3" s="1"/>
  <c r="E246" i="3"/>
  <c r="U39" i="2"/>
  <c r="U59" i="2" s="1"/>
  <c r="U36" i="2" s="1"/>
  <c r="U34" i="2"/>
  <c r="U35" i="2"/>
  <c r="F246" i="3" l="1"/>
  <c r="G246" i="3" s="1"/>
  <c r="L246" i="3" s="1"/>
  <c r="I246" i="3" l="1"/>
  <c r="C247" i="3" s="1"/>
  <c r="H247" i="3" l="1"/>
  <c r="J247" i="3" s="1"/>
  <c r="E247" i="3"/>
  <c r="F247" i="3" l="1"/>
  <c r="G247" i="3" s="1"/>
  <c r="L247" i="3" s="1"/>
  <c r="I247" i="3" l="1"/>
  <c r="C248" i="3" s="1"/>
  <c r="H248" i="3" l="1"/>
  <c r="J248" i="3" s="1"/>
  <c r="E248" i="3"/>
  <c r="F248" i="3" l="1"/>
  <c r="G248" i="3" s="1"/>
  <c r="L248" i="3" s="1"/>
  <c r="I248" i="3" l="1"/>
  <c r="C249" i="3" s="1"/>
  <c r="H249" i="3" s="1"/>
  <c r="J249" i="3" s="1"/>
  <c r="E249" i="3" l="1"/>
  <c r="F249" i="3" s="1"/>
  <c r="G249" i="3" s="1"/>
  <c r="L249" i="3" s="1"/>
  <c r="I249" i="3" l="1"/>
  <c r="C250" i="3" s="1"/>
  <c r="H250" i="3" l="1"/>
  <c r="J250" i="3" s="1"/>
  <c r="E250" i="3"/>
  <c r="F250" i="3" l="1"/>
  <c r="G250" i="3" s="1"/>
  <c r="L250" i="3" s="1"/>
  <c r="I250" i="3" l="1"/>
  <c r="C251" i="3" s="1"/>
  <c r="H251" i="3" s="1"/>
  <c r="J251" i="3" s="1"/>
  <c r="E251" i="3" l="1"/>
  <c r="F251" i="3"/>
  <c r="G251" i="3" s="1"/>
  <c r="L251" i="3" s="1"/>
  <c r="I251" i="3" l="1"/>
  <c r="C252" i="3" s="1"/>
  <c r="E252" i="3" l="1"/>
  <c r="H252" i="3"/>
  <c r="J252" i="3" s="1"/>
  <c r="F252" i="3" l="1"/>
  <c r="G252" i="3" s="1"/>
  <c r="L252" i="3" s="1"/>
  <c r="I252" i="3" l="1"/>
  <c r="C253" i="3" s="1"/>
  <c r="H253" i="3" s="1"/>
  <c r="J253" i="3" s="1"/>
  <c r="E253" i="3" l="1"/>
  <c r="F253" i="3"/>
  <c r="G253" i="3" s="1"/>
  <c r="L253" i="3" s="1"/>
  <c r="I253" i="3" l="1"/>
  <c r="C254" i="3" s="1"/>
  <c r="E254" i="3" l="1"/>
  <c r="H254" i="3"/>
  <c r="J254" i="3" s="1"/>
  <c r="F254" i="3" l="1"/>
  <c r="G254" i="3" s="1"/>
  <c r="L254" i="3" s="1"/>
  <c r="I254" i="3" l="1"/>
  <c r="C255" i="3" s="1"/>
  <c r="H255" i="3" s="1"/>
  <c r="J255" i="3" s="1"/>
  <c r="E255" i="3" l="1"/>
  <c r="F255" i="3"/>
  <c r="G255" i="3" s="1"/>
  <c r="L255" i="3" s="1"/>
  <c r="I255" i="3" l="1"/>
  <c r="C256" i="3" s="1"/>
  <c r="H256" i="3" l="1"/>
  <c r="J256" i="3" s="1"/>
  <c r="E256" i="3"/>
  <c r="F256" i="3" l="1"/>
  <c r="G256" i="3" s="1"/>
  <c r="L256" i="3" s="1"/>
  <c r="I256" i="3" l="1"/>
  <c r="C257" i="3" s="1"/>
  <c r="H257" i="3" s="1"/>
  <c r="J257" i="3" s="1"/>
  <c r="N50" i="1" s="1"/>
  <c r="E257" i="3" l="1"/>
  <c r="F257" i="3" s="1"/>
  <c r="G257" i="3" s="1"/>
  <c r="L257" i="3" s="1"/>
  <c r="K257" i="3"/>
  <c r="N46" i="1" s="1"/>
  <c r="N51" i="1"/>
  <c r="I257" i="3" l="1"/>
  <c r="V28" i="2" s="1"/>
  <c r="V29" i="2" s="1"/>
  <c r="N56" i="1"/>
  <c r="C258" i="3" l="1"/>
  <c r="H258" i="3" s="1"/>
  <c r="J258" i="3" s="1"/>
  <c r="E258" i="3"/>
  <c r="V34" i="2"/>
  <c r="V35" i="2"/>
  <c r="V39" i="2"/>
  <c r="V60" i="2" s="1"/>
  <c r="V36" i="2" s="1"/>
  <c r="F258" i="3" l="1"/>
  <c r="G258" i="3" s="1"/>
  <c r="L258" i="3" s="1"/>
  <c r="I258" i="3" l="1"/>
  <c r="C259" i="3" s="1"/>
  <c r="H259" i="3" s="1"/>
  <c r="J259" i="3" s="1"/>
  <c r="E259" i="3" l="1"/>
  <c r="F259" i="3"/>
  <c r="G259" i="3" s="1"/>
  <c r="L259" i="3" s="1"/>
  <c r="I259" i="3" l="1"/>
  <c r="C260" i="3" s="1"/>
  <c r="H260" i="3" s="1"/>
  <c r="J260" i="3" s="1"/>
  <c r="E260" i="3" l="1"/>
  <c r="F260" i="3" s="1"/>
  <c r="G260" i="3" s="1"/>
  <c r="L260" i="3" s="1"/>
  <c r="I260" i="3" l="1"/>
  <c r="C261" i="3" s="1"/>
  <c r="H261" i="3" l="1"/>
  <c r="J261" i="3" s="1"/>
  <c r="E261" i="3"/>
  <c r="F261" i="3" l="1"/>
  <c r="G261" i="3" s="1"/>
  <c r="L261" i="3" s="1"/>
  <c r="I261" i="3" l="1"/>
  <c r="C262" i="3" s="1"/>
  <c r="H262" i="3" s="1"/>
  <c r="J262" i="3" s="1"/>
  <c r="E262" i="3" l="1"/>
  <c r="F262" i="3" s="1"/>
  <c r="G262" i="3" s="1"/>
  <c r="L262" i="3" s="1"/>
  <c r="I262" i="3" l="1"/>
  <c r="C263" i="3" s="1"/>
  <c r="H263" i="3" l="1"/>
  <c r="J263" i="3" s="1"/>
  <c r="E263" i="3"/>
  <c r="F263" i="3" l="1"/>
  <c r="G263" i="3" s="1"/>
  <c r="L263" i="3" s="1"/>
  <c r="I263" i="3" l="1"/>
  <c r="C264" i="3" s="1"/>
  <c r="H264" i="3" s="1"/>
  <c r="J264" i="3" s="1"/>
  <c r="E264" i="3" l="1"/>
  <c r="F264" i="3" s="1"/>
  <c r="G264" i="3" s="1"/>
  <c r="L264" i="3" s="1"/>
  <c r="I264" i="3" l="1"/>
  <c r="C265" i="3" s="1"/>
  <c r="H265" i="3" l="1"/>
  <c r="J265" i="3" s="1"/>
  <c r="E265" i="3"/>
  <c r="F265" i="3" l="1"/>
  <c r="G265" i="3" s="1"/>
  <c r="L265" i="3" s="1"/>
  <c r="I265" i="3" l="1"/>
  <c r="C266" i="3" s="1"/>
  <c r="H266" i="3" l="1"/>
  <c r="J266" i="3" s="1"/>
  <c r="E266" i="3"/>
  <c r="F266" i="3" l="1"/>
  <c r="G266" i="3" s="1"/>
  <c r="L266" i="3" s="1"/>
  <c r="I266" i="3" l="1"/>
  <c r="C267" i="3" s="1"/>
  <c r="E267" i="3" s="1"/>
  <c r="H267" i="3" l="1"/>
  <c r="J267" i="3" s="1"/>
  <c r="F267" i="3"/>
  <c r="G267" i="3" s="1"/>
  <c r="L267" i="3" s="1"/>
  <c r="I267" i="3" l="1"/>
  <c r="C268" i="3" s="1"/>
  <c r="H268" i="3" l="1"/>
  <c r="J268" i="3" s="1"/>
  <c r="E268" i="3"/>
  <c r="F268" i="3" l="1"/>
  <c r="G268" i="3" s="1"/>
  <c r="L268" i="3" s="1"/>
  <c r="I268" i="3" l="1"/>
  <c r="C269" i="3" s="1"/>
  <c r="E269" i="3" s="1"/>
  <c r="H269" i="3" l="1"/>
  <c r="J269" i="3" s="1"/>
  <c r="K269" i="3" s="1"/>
  <c r="F269" i="3"/>
  <c r="G269" i="3" l="1"/>
  <c r="L269" i="3" s="1"/>
  <c r="I269" i="3" l="1"/>
  <c r="C270" i="3" l="1"/>
  <c r="W28" i="2"/>
  <c r="W29" i="2" s="1"/>
  <c r="W35" i="2" l="1"/>
  <c r="W39" i="2"/>
  <c r="W61" i="2" s="1"/>
  <c r="W36" i="2" s="1"/>
  <c r="W34" i="2"/>
  <c r="H270" i="3"/>
  <c r="J270" i="3" s="1"/>
  <c r="E270" i="3"/>
  <c r="F270" i="3" s="1"/>
  <c r="G270" i="3" l="1"/>
  <c r="L270" i="3" l="1"/>
  <c r="I270" i="3"/>
  <c r="C271" i="3" s="1"/>
  <c r="H271" i="3" l="1"/>
  <c r="J271" i="3" s="1"/>
  <c r="E271" i="3"/>
  <c r="F271" i="3" l="1"/>
  <c r="G271" i="3" s="1"/>
  <c r="L271" i="3" s="1"/>
  <c r="I271" i="3"/>
  <c r="C272" i="3" s="1"/>
  <c r="E272" i="3" l="1"/>
  <c r="H272" i="3"/>
  <c r="J272" i="3" s="1"/>
  <c r="F272" i="3" l="1"/>
  <c r="G272" i="3" s="1"/>
  <c r="L272" i="3" s="1"/>
  <c r="I272" i="3" l="1"/>
  <c r="C273" i="3" s="1"/>
  <c r="H273" i="3" s="1"/>
  <c r="J273" i="3" s="1"/>
  <c r="E273" i="3"/>
  <c r="F273" i="3" s="1"/>
  <c r="G273" i="3" l="1"/>
  <c r="L273" i="3" s="1"/>
  <c r="I273" i="3" l="1"/>
  <c r="C274" i="3" s="1"/>
  <c r="H274" i="3" l="1"/>
  <c r="J274" i="3" s="1"/>
  <c r="E274" i="3"/>
  <c r="F274" i="3" l="1"/>
  <c r="G274" i="3" s="1"/>
  <c r="L274" i="3" s="1"/>
  <c r="I274" i="3"/>
  <c r="C275" i="3" s="1"/>
  <c r="E275" i="3" l="1"/>
  <c r="F275" i="3" s="1"/>
  <c r="H275" i="3"/>
  <c r="J275" i="3" s="1"/>
  <c r="G275" i="3" l="1"/>
  <c r="L275" i="3" s="1"/>
  <c r="I275" i="3"/>
  <c r="C276" i="3" s="1"/>
  <c r="H276" i="3" s="1"/>
  <c r="J276" i="3" s="1"/>
  <c r="E276" i="3" l="1"/>
  <c r="F276" i="3" s="1"/>
  <c r="G276" i="3" s="1"/>
  <c r="L276" i="3" s="1"/>
  <c r="I276" i="3" l="1"/>
  <c r="C277" i="3" s="1"/>
  <c r="H277" i="3" l="1"/>
  <c r="J277" i="3" s="1"/>
  <c r="E277" i="3"/>
  <c r="F277" i="3" l="1"/>
  <c r="G277" i="3" s="1"/>
  <c r="L277" i="3" s="1"/>
  <c r="I277" i="3" l="1"/>
  <c r="C278" i="3" s="1"/>
  <c r="H278" i="3" l="1"/>
  <c r="J278" i="3" s="1"/>
  <c r="E278" i="3"/>
  <c r="F278" i="3" l="1"/>
  <c r="G278" i="3" s="1"/>
  <c r="L278" i="3" s="1"/>
  <c r="I278" i="3" l="1"/>
  <c r="C279" i="3" s="1"/>
  <c r="H279" i="3" s="1"/>
  <c r="J279" i="3" s="1"/>
  <c r="E279" i="3" l="1"/>
  <c r="F279" i="3" s="1"/>
  <c r="G279" i="3" s="1"/>
  <c r="L279" i="3" s="1"/>
  <c r="I279" i="3" l="1"/>
  <c r="C280" i="3" s="1"/>
  <c r="E280" i="3" l="1"/>
  <c r="H280" i="3"/>
  <c r="J280" i="3" s="1"/>
  <c r="F280" i="3" l="1"/>
  <c r="G280" i="3" s="1"/>
  <c r="L280" i="3" s="1"/>
  <c r="I280" i="3" l="1"/>
  <c r="C281" i="3" s="1"/>
  <c r="E281" i="3" l="1"/>
  <c r="H281" i="3"/>
  <c r="J281" i="3" s="1"/>
  <c r="K281" i="3" s="1"/>
  <c r="F281" i="3" l="1"/>
  <c r="G281" i="3" s="1"/>
  <c r="L281" i="3" s="1"/>
  <c r="I281" i="3" l="1"/>
  <c r="X28" i="2" l="1"/>
  <c r="X29" i="2" s="1"/>
  <c r="C282" i="3"/>
  <c r="E282" i="3" l="1"/>
  <c r="H282" i="3"/>
  <c r="J282" i="3" s="1"/>
  <c r="X39" i="2"/>
  <c r="X62" i="2" s="1"/>
  <c r="X36" i="2" s="1"/>
  <c r="X35" i="2"/>
  <c r="X34" i="2"/>
  <c r="F282" i="3" l="1"/>
  <c r="G282" i="3" s="1"/>
  <c r="L282" i="3" s="1"/>
  <c r="I282" i="3" l="1"/>
  <c r="C283" i="3" s="1"/>
  <c r="H283" i="3" s="1"/>
  <c r="J283" i="3" s="1"/>
  <c r="E283" i="3" l="1"/>
  <c r="F283" i="3"/>
  <c r="G283" i="3" s="1"/>
  <c r="L283" i="3" s="1"/>
  <c r="I283" i="3" l="1"/>
  <c r="C284" i="3" s="1"/>
  <c r="H284" i="3" s="1"/>
  <c r="J284" i="3" s="1"/>
  <c r="E284" i="3" l="1"/>
  <c r="F284" i="3"/>
  <c r="G284" i="3" s="1"/>
  <c r="L284" i="3" s="1"/>
  <c r="I284" i="3" l="1"/>
  <c r="C285" i="3" s="1"/>
  <c r="H285" i="3" l="1"/>
  <c r="J285" i="3" s="1"/>
  <c r="E285" i="3"/>
  <c r="F285" i="3" l="1"/>
  <c r="G285" i="3" s="1"/>
  <c r="L285" i="3" s="1"/>
  <c r="I285" i="3" l="1"/>
  <c r="C286" i="3" s="1"/>
  <c r="H286" i="3" l="1"/>
  <c r="J286" i="3" s="1"/>
  <c r="E286" i="3"/>
  <c r="F286" i="3" l="1"/>
  <c r="G286" i="3" s="1"/>
  <c r="L286" i="3" s="1"/>
  <c r="I286" i="3" l="1"/>
  <c r="C287" i="3" s="1"/>
  <c r="H287" i="3" s="1"/>
  <c r="J287" i="3" s="1"/>
  <c r="E287" i="3"/>
  <c r="F287" i="3" l="1"/>
  <c r="G287" i="3" s="1"/>
  <c r="L287" i="3" s="1"/>
  <c r="I287" i="3" l="1"/>
  <c r="C288" i="3" s="1"/>
  <c r="H288" i="3" l="1"/>
  <c r="J288" i="3" s="1"/>
  <c r="E288" i="3"/>
  <c r="F288" i="3" l="1"/>
  <c r="G288" i="3" s="1"/>
  <c r="L288" i="3" s="1"/>
  <c r="I288" i="3" l="1"/>
  <c r="C289" i="3" s="1"/>
  <c r="H289" i="3" l="1"/>
  <c r="J289" i="3" s="1"/>
  <c r="E289" i="3"/>
  <c r="F289" i="3" l="1"/>
  <c r="G289" i="3" s="1"/>
  <c r="L289" i="3" s="1"/>
  <c r="I289" i="3" l="1"/>
  <c r="C290" i="3" s="1"/>
  <c r="H290" i="3" s="1"/>
  <c r="J290" i="3" s="1"/>
  <c r="E290" i="3" l="1"/>
  <c r="F290" i="3" s="1"/>
  <c r="G290" i="3" s="1"/>
  <c r="L290" i="3" s="1"/>
  <c r="I290" i="3" l="1"/>
  <c r="C291" i="3" s="1"/>
  <c r="H291" i="3" l="1"/>
  <c r="J291" i="3" s="1"/>
  <c r="E291" i="3"/>
  <c r="F291" i="3" l="1"/>
  <c r="G291" i="3" s="1"/>
  <c r="L291" i="3" s="1"/>
  <c r="I291" i="3" l="1"/>
  <c r="C292" i="3" s="1"/>
  <c r="E292" i="3" l="1"/>
  <c r="H292" i="3"/>
  <c r="J292" i="3" s="1"/>
  <c r="F292" i="3" l="1"/>
  <c r="G292" i="3" s="1"/>
  <c r="L292" i="3" s="1"/>
  <c r="I292" i="3" l="1"/>
  <c r="C293" i="3" s="1"/>
  <c r="H293" i="3" s="1"/>
  <c r="J293" i="3" s="1"/>
  <c r="K293" i="3" s="1"/>
  <c r="E293" i="3" l="1"/>
  <c r="F293" i="3" s="1"/>
  <c r="G293" i="3" s="1"/>
  <c r="L293" i="3" s="1"/>
  <c r="I293" i="3" l="1"/>
  <c r="Y28" i="2" s="1"/>
  <c r="Y29" i="2" s="1"/>
  <c r="C294" i="3" l="1"/>
  <c r="H294" i="3" s="1"/>
  <c r="J294" i="3" s="1"/>
  <c r="E294" i="3"/>
  <c r="Y39" i="2"/>
  <c r="Y63" i="2" s="1"/>
  <c r="Y36" i="2" s="1"/>
  <c r="Y34" i="2"/>
  <c r="Y35" i="2"/>
  <c r="F294" i="3" l="1"/>
  <c r="G294" i="3" s="1"/>
  <c r="L294" i="3" s="1"/>
  <c r="I294" i="3" l="1"/>
  <c r="C295" i="3" s="1"/>
  <c r="H295" i="3" l="1"/>
  <c r="J295" i="3" s="1"/>
  <c r="E295" i="3"/>
  <c r="F295" i="3" l="1"/>
  <c r="G295" i="3" s="1"/>
  <c r="L295" i="3" s="1"/>
  <c r="I295" i="3" l="1"/>
  <c r="C296" i="3" s="1"/>
  <c r="H296" i="3" l="1"/>
  <c r="J296" i="3" s="1"/>
  <c r="E296" i="3"/>
  <c r="F296" i="3" l="1"/>
  <c r="G296" i="3" s="1"/>
  <c r="L296" i="3" s="1"/>
  <c r="I296" i="3" l="1"/>
  <c r="C297" i="3" s="1"/>
  <c r="H297" i="3" l="1"/>
  <c r="J297" i="3" s="1"/>
  <c r="E297" i="3"/>
  <c r="F297" i="3" l="1"/>
  <c r="G297" i="3" s="1"/>
  <c r="L297" i="3" s="1"/>
  <c r="I297" i="3" l="1"/>
  <c r="C298" i="3" s="1"/>
  <c r="H298" i="3" l="1"/>
  <c r="J298" i="3" s="1"/>
  <c r="E298" i="3"/>
  <c r="F298" i="3" l="1"/>
  <c r="G298" i="3" s="1"/>
  <c r="L298" i="3" s="1"/>
  <c r="I298" i="3" l="1"/>
  <c r="C299" i="3" s="1"/>
  <c r="E299" i="3" s="1"/>
  <c r="H299" i="3" l="1"/>
  <c r="J299" i="3" s="1"/>
  <c r="F299" i="3"/>
  <c r="G299" i="3" s="1"/>
  <c r="L299" i="3" s="1"/>
  <c r="I299" i="3" l="1"/>
  <c r="C300" i="3" s="1"/>
  <c r="H300" i="3" s="1"/>
  <c r="J300" i="3" s="1"/>
  <c r="E300" i="3" l="1"/>
  <c r="F300" i="3" s="1"/>
  <c r="G300" i="3" s="1"/>
  <c r="L300" i="3" s="1"/>
  <c r="I300" i="3" l="1"/>
  <c r="C301" i="3" s="1"/>
  <c r="E301" i="3" s="1"/>
  <c r="H301" i="3" l="1"/>
  <c r="J301" i="3" s="1"/>
  <c r="F301" i="3"/>
  <c r="G301" i="3" l="1"/>
  <c r="L301" i="3" s="1"/>
  <c r="I301" i="3" l="1"/>
  <c r="C302" i="3" s="1"/>
  <c r="H302" i="3" s="1"/>
  <c r="J302" i="3" s="1"/>
  <c r="E302" i="3" l="1"/>
  <c r="F302" i="3" s="1"/>
  <c r="G302" i="3" s="1"/>
  <c r="L302" i="3" s="1"/>
  <c r="I302" i="3" l="1"/>
  <c r="C303" i="3" s="1"/>
  <c r="E303" i="3" s="1"/>
  <c r="H303" i="3" l="1"/>
  <c r="J303" i="3" s="1"/>
  <c r="F303" i="3"/>
  <c r="G303" i="3" l="1"/>
  <c r="L303" i="3" s="1"/>
  <c r="I303" i="3" l="1"/>
  <c r="C304" i="3" s="1"/>
  <c r="E304" i="3" s="1"/>
  <c r="H304" i="3" l="1"/>
  <c r="J304" i="3" s="1"/>
  <c r="F304" i="3"/>
  <c r="G304" i="3" s="1"/>
  <c r="L304" i="3" s="1"/>
  <c r="I304" i="3" l="1"/>
  <c r="C305" i="3" s="1"/>
  <c r="E305" i="3"/>
  <c r="H305" i="3"/>
  <c r="J305" i="3" s="1"/>
  <c r="K305" i="3" s="1"/>
  <c r="F305" i="3" l="1"/>
  <c r="G305" i="3" s="1"/>
  <c r="L305" i="3" s="1"/>
  <c r="I305" i="3" l="1"/>
  <c r="Z28" i="2" l="1"/>
  <c r="Z29" i="2" s="1"/>
  <c r="C306" i="3"/>
  <c r="E306" i="3" l="1"/>
  <c r="H306" i="3"/>
  <c r="J306" i="3" s="1"/>
  <c r="Z35" i="2"/>
  <c r="Z34" i="2"/>
  <c r="Z39" i="2"/>
  <c r="Z64" i="2" s="1"/>
  <c r="Z36" i="2" s="1"/>
  <c r="F306" i="3" l="1"/>
  <c r="G306" i="3" s="1"/>
  <c r="L306" i="3" s="1"/>
  <c r="I306" i="3" l="1"/>
  <c r="C307" i="3" s="1"/>
  <c r="H307" i="3" l="1"/>
  <c r="J307" i="3" s="1"/>
  <c r="E307" i="3"/>
  <c r="F307" i="3" l="1"/>
  <c r="G307" i="3" s="1"/>
  <c r="L307" i="3" s="1"/>
  <c r="I307" i="3" l="1"/>
  <c r="C308" i="3" s="1"/>
  <c r="H308" i="3" s="1"/>
  <c r="J308" i="3" s="1"/>
  <c r="E308" i="3"/>
  <c r="F308" i="3" l="1"/>
  <c r="G308" i="3" s="1"/>
  <c r="L308" i="3" s="1"/>
  <c r="I308" i="3" l="1"/>
  <c r="C309" i="3" s="1"/>
  <c r="H309" i="3" l="1"/>
  <c r="J309" i="3" s="1"/>
  <c r="E309" i="3"/>
  <c r="F309" i="3" l="1"/>
  <c r="G309" i="3" s="1"/>
  <c r="L309" i="3" s="1"/>
  <c r="I309" i="3" l="1"/>
  <c r="C310" i="3" s="1"/>
  <c r="E310" i="3" s="1"/>
  <c r="H310" i="3" l="1"/>
  <c r="J310" i="3" s="1"/>
  <c r="F310" i="3"/>
  <c r="G310" i="3" l="1"/>
  <c r="L310" i="3" s="1"/>
  <c r="I310" i="3"/>
  <c r="C311" i="3" s="1"/>
  <c r="H311" i="3" l="1"/>
  <c r="J311" i="3" s="1"/>
  <c r="E311" i="3"/>
  <c r="F311" i="3" l="1"/>
  <c r="G311" i="3" s="1"/>
  <c r="L311" i="3" s="1"/>
  <c r="I311" i="3" l="1"/>
  <c r="C312" i="3" s="1"/>
  <c r="H312" i="3" l="1"/>
  <c r="J312" i="3" s="1"/>
  <c r="E312" i="3"/>
  <c r="F312" i="3" l="1"/>
  <c r="G312" i="3" s="1"/>
  <c r="L312" i="3" s="1"/>
  <c r="I312" i="3" l="1"/>
  <c r="C313" i="3" s="1"/>
  <c r="H313" i="3" l="1"/>
  <c r="J313" i="3" s="1"/>
  <c r="E313" i="3"/>
  <c r="F313" i="3" l="1"/>
  <c r="G313" i="3" s="1"/>
  <c r="L313" i="3" s="1"/>
  <c r="I313" i="3" l="1"/>
  <c r="C314" i="3" s="1"/>
  <c r="H314" i="3" l="1"/>
  <c r="J314" i="3" s="1"/>
  <c r="E314" i="3"/>
  <c r="F314" i="3" l="1"/>
  <c r="G314" i="3" s="1"/>
  <c r="L314" i="3" s="1"/>
  <c r="I314" i="3" l="1"/>
  <c r="C315" i="3" s="1"/>
  <c r="H315" i="3" s="1"/>
  <c r="J315" i="3" s="1"/>
  <c r="E315" i="3"/>
  <c r="F315" i="3" l="1"/>
  <c r="G315" i="3" s="1"/>
  <c r="L315" i="3" s="1"/>
  <c r="I315" i="3" l="1"/>
  <c r="C316" i="3" s="1"/>
  <c r="H316" i="3" s="1"/>
  <c r="J316" i="3" s="1"/>
  <c r="E316" i="3" l="1"/>
  <c r="F316" i="3" s="1"/>
  <c r="G316" i="3" s="1"/>
  <c r="L316" i="3" s="1"/>
  <c r="I316" i="3" l="1"/>
  <c r="C317" i="3" s="1"/>
  <c r="H317" i="3" s="1"/>
  <c r="J317" i="3" s="1"/>
  <c r="K317" i="3" s="1"/>
  <c r="E317" i="3" l="1"/>
  <c r="F317" i="3" s="1"/>
  <c r="G317" i="3" s="1"/>
  <c r="L317" i="3" s="1"/>
  <c r="I317" i="3" l="1"/>
  <c r="AA28" i="2" s="1"/>
  <c r="AA29" i="2" s="1"/>
  <c r="C318" i="3" l="1"/>
  <c r="H318" i="3" s="1"/>
  <c r="J318" i="3" s="1"/>
  <c r="AA34" i="2"/>
  <c r="AA39" i="2"/>
  <c r="AA65" i="2" s="1"/>
  <c r="AA36" i="2" s="1"/>
  <c r="AA35" i="2"/>
  <c r="E318" i="3" l="1"/>
  <c r="F318" i="3"/>
  <c r="G318" i="3" s="1"/>
  <c r="L318" i="3" s="1"/>
  <c r="I318" i="3" l="1"/>
  <c r="C319" i="3" s="1"/>
  <c r="H319" i="3" s="1"/>
  <c r="J319" i="3" s="1"/>
  <c r="E319" i="3" l="1"/>
  <c r="F319" i="3"/>
  <c r="G319" i="3" s="1"/>
  <c r="L319" i="3" s="1"/>
  <c r="I319" i="3" l="1"/>
  <c r="C320" i="3" s="1"/>
  <c r="H320" i="3" l="1"/>
  <c r="J320" i="3" s="1"/>
  <c r="E320" i="3"/>
  <c r="F320" i="3" l="1"/>
  <c r="G320" i="3" s="1"/>
  <c r="L320" i="3" s="1"/>
  <c r="I320" i="3" l="1"/>
  <c r="C321" i="3" s="1"/>
  <c r="E321" i="3" s="1"/>
  <c r="H321" i="3" l="1"/>
  <c r="J321" i="3" s="1"/>
  <c r="F321" i="3"/>
  <c r="G321" i="3" s="1"/>
  <c r="L321" i="3" s="1"/>
  <c r="I321" i="3" l="1"/>
  <c r="C322" i="3" s="1"/>
  <c r="H322" i="3" l="1"/>
  <c r="J322" i="3" s="1"/>
  <c r="E322" i="3"/>
  <c r="F322" i="3" l="1"/>
  <c r="G322" i="3" s="1"/>
  <c r="L322" i="3" s="1"/>
  <c r="I322" i="3" l="1"/>
  <c r="C323" i="3" s="1"/>
  <c r="H323" i="3" l="1"/>
  <c r="J323" i="3" s="1"/>
  <c r="E323" i="3"/>
  <c r="F323" i="3" l="1"/>
  <c r="G323" i="3" s="1"/>
  <c r="L323" i="3" s="1"/>
  <c r="I323" i="3" l="1"/>
  <c r="C324" i="3" s="1"/>
  <c r="H324" i="3" s="1"/>
  <c r="J324" i="3" s="1"/>
  <c r="E324" i="3" l="1"/>
  <c r="F324" i="3" s="1"/>
  <c r="G324" i="3" s="1"/>
  <c r="L324" i="3" s="1"/>
  <c r="I324" i="3" l="1"/>
  <c r="C325" i="3" s="1"/>
  <c r="H325" i="3" s="1"/>
  <c r="J325" i="3" s="1"/>
  <c r="E325" i="3" l="1"/>
  <c r="F325" i="3" s="1"/>
  <c r="G325" i="3" s="1"/>
  <c r="L325" i="3" s="1"/>
  <c r="I325" i="3" l="1"/>
  <c r="C326" i="3" s="1"/>
  <c r="H326" i="3" l="1"/>
  <c r="J326" i="3" s="1"/>
  <c r="E326" i="3"/>
  <c r="F326" i="3" l="1"/>
  <c r="G326" i="3" s="1"/>
  <c r="L326" i="3" s="1"/>
  <c r="I326" i="3" l="1"/>
  <c r="C327" i="3" s="1"/>
  <c r="H327" i="3"/>
  <c r="J327" i="3" s="1"/>
  <c r="E327" i="3"/>
  <c r="F327" i="3" l="1"/>
  <c r="G327" i="3" s="1"/>
  <c r="L327" i="3" s="1"/>
  <c r="I327" i="3" l="1"/>
  <c r="C328" i="3" s="1"/>
  <c r="H328" i="3" s="1"/>
  <c r="J328" i="3" s="1"/>
  <c r="E328" i="3" l="1"/>
  <c r="F328" i="3"/>
  <c r="G328" i="3" s="1"/>
  <c r="L328" i="3" s="1"/>
  <c r="I328" i="3" l="1"/>
  <c r="C329" i="3" s="1"/>
  <c r="H329" i="3" s="1"/>
  <c r="J329" i="3" s="1"/>
  <c r="K329" i="3" s="1"/>
  <c r="E329" i="3" l="1"/>
  <c r="F329" i="3"/>
  <c r="G329" i="3" s="1"/>
  <c r="L329" i="3" s="1"/>
  <c r="I329" i="3" l="1"/>
  <c r="AB28" i="2" l="1"/>
  <c r="AB29" i="2" s="1"/>
  <c r="C330" i="3"/>
  <c r="H330" i="3" l="1"/>
  <c r="J330" i="3" s="1"/>
  <c r="E330" i="3"/>
  <c r="AB35" i="2"/>
  <c r="AB34" i="2"/>
  <c r="AB39" i="2"/>
  <c r="AB66" i="2" s="1"/>
  <c r="AB36" i="2" s="1"/>
  <c r="F330" i="3" l="1"/>
  <c r="G330" i="3" s="1"/>
  <c r="L330" i="3" s="1"/>
  <c r="I330" i="3" l="1"/>
  <c r="C331" i="3" s="1"/>
  <c r="H331" i="3" s="1"/>
  <c r="J331" i="3" s="1"/>
  <c r="E331" i="3" l="1"/>
  <c r="F331" i="3" s="1"/>
  <c r="G331" i="3" s="1"/>
  <c r="L331" i="3" s="1"/>
  <c r="I331" i="3" l="1"/>
  <c r="C332" i="3" s="1"/>
  <c r="H332" i="3" s="1"/>
  <c r="J332" i="3" s="1"/>
  <c r="E332" i="3" l="1"/>
  <c r="F332" i="3" s="1"/>
  <c r="G332" i="3" s="1"/>
  <c r="L332" i="3" s="1"/>
  <c r="I332" i="3" l="1"/>
  <c r="C333" i="3" s="1"/>
  <c r="H333" i="3" s="1"/>
  <c r="J333" i="3" s="1"/>
  <c r="E333" i="3" l="1"/>
  <c r="F333" i="3" s="1"/>
  <c r="G333" i="3" s="1"/>
  <c r="L333" i="3" s="1"/>
  <c r="I333" i="3" l="1"/>
  <c r="C334" i="3" s="1"/>
  <c r="H334" i="3" s="1"/>
  <c r="J334" i="3" s="1"/>
  <c r="E334" i="3" l="1"/>
  <c r="F334" i="3" s="1"/>
  <c r="G334" i="3" s="1"/>
  <c r="L334" i="3" s="1"/>
  <c r="I334" i="3" l="1"/>
  <c r="C335" i="3" s="1"/>
  <c r="H335" i="3" s="1"/>
  <c r="J335" i="3" s="1"/>
  <c r="E335" i="3" l="1"/>
  <c r="F335" i="3" s="1"/>
  <c r="G335" i="3" s="1"/>
  <c r="L335" i="3" s="1"/>
  <c r="I335" i="3" l="1"/>
  <c r="C336" i="3" s="1"/>
  <c r="E336" i="3" l="1"/>
  <c r="H336" i="3"/>
  <c r="J336" i="3" s="1"/>
  <c r="F336" i="3" l="1"/>
  <c r="G336" i="3" s="1"/>
  <c r="L336" i="3" s="1"/>
  <c r="I336" i="3" l="1"/>
  <c r="C337" i="3" s="1"/>
  <c r="H337" i="3"/>
  <c r="J337" i="3" s="1"/>
  <c r="E337" i="3"/>
  <c r="F337" i="3" l="1"/>
  <c r="G337" i="3" s="1"/>
  <c r="L337" i="3" s="1"/>
  <c r="I337" i="3" l="1"/>
  <c r="C338" i="3" s="1"/>
  <c r="E338" i="3" l="1"/>
  <c r="H338" i="3"/>
  <c r="J338" i="3" s="1"/>
  <c r="F338" i="3" l="1"/>
  <c r="G338" i="3" s="1"/>
  <c r="L338" i="3" s="1"/>
  <c r="I338" i="3" l="1"/>
  <c r="C339" i="3" s="1"/>
  <c r="H339" i="3" l="1"/>
  <c r="J339" i="3" s="1"/>
  <c r="E339" i="3"/>
  <c r="F339" i="3" l="1"/>
  <c r="G339" i="3" s="1"/>
  <c r="L339" i="3" s="1"/>
  <c r="I339" i="3" l="1"/>
  <c r="C340" i="3" s="1"/>
  <c r="H340" i="3" s="1"/>
  <c r="J340" i="3" s="1"/>
  <c r="E340" i="3" l="1"/>
  <c r="F340" i="3" s="1"/>
  <c r="G340" i="3" s="1"/>
  <c r="L340" i="3" s="1"/>
  <c r="I340" i="3" l="1"/>
  <c r="C341" i="3" s="1"/>
  <c r="E341" i="3" l="1"/>
  <c r="H341" i="3"/>
  <c r="J341" i="3" s="1"/>
  <c r="K341" i="3" s="1"/>
  <c r="F341" i="3" l="1"/>
  <c r="G341" i="3" s="1"/>
  <c r="L341" i="3" s="1"/>
  <c r="I341" i="3" l="1"/>
  <c r="AC28" i="2" l="1"/>
  <c r="AC29" i="2" s="1"/>
  <c r="C342" i="3"/>
  <c r="H342" i="3" l="1"/>
  <c r="J342" i="3" s="1"/>
  <c r="E342" i="3"/>
  <c r="AC39" i="2"/>
  <c r="AC67" i="2" s="1"/>
  <c r="AC36" i="2" s="1"/>
  <c r="AC34" i="2"/>
  <c r="AC35" i="2"/>
  <c r="F342" i="3" l="1"/>
  <c r="G342" i="3" s="1"/>
  <c r="L342" i="3" s="1"/>
  <c r="I342" i="3" l="1"/>
  <c r="C343" i="3" s="1"/>
  <c r="H343" i="3"/>
  <c r="J343" i="3" s="1"/>
  <c r="E343" i="3"/>
  <c r="F343" i="3" l="1"/>
  <c r="G343" i="3" s="1"/>
  <c r="L343" i="3" s="1"/>
  <c r="I343" i="3" l="1"/>
  <c r="C344" i="3" s="1"/>
  <c r="H344" i="3" l="1"/>
  <c r="J344" i="3" s="1"/>
  <c r="E344" i="3"/>
  <c r="F344" i="3" l="1"/>
  <c r="G344" i="3" s="1"/>
  <c r="L344" i="3" s="1"/>
  <c r="I344" i="3" l="1"/>
  <c r="C345" i="3" s="1"/>
  <c r="E345" i="3" l="1"/>
  <c r="H345" i="3"/>
  <c r="J345" i="3" s="1"/>
  <c r="F345" i="3" l="1"/>
  <c r="G345" i="3" s="1"/>
  <c r="L345" i="3" s="1"/>
  <c r="I345" i="3" l="1"/>
  <c r="C346" i="3" s="1"/>
  <c r="E346" i="3" l="1"/>
  <c r="H346" i="3"/>
  <c r="J346" i="3" s="1"/>
  <c r="F346" i="3" l="1"/>
  <c r="G346" i="3" s="1"/>
  <c r="L346" i="3" s="1"/>
  <c r="I346" i="3" l="1"/>
  <c r="C347" i="3" s="1"/>
  <c r="E347" i="3" s="1"/>
  <c r="H347" i="3" l="1"/>
  <c r="J347" i="3" s="1"/>
  <c r="F347" i="3"/>
  <c r="G347" i="3" s="1"/>
  <c r="L347" i="3" s="1"/>
  <c r="I347" i="3" l="1"/>
  <c r="C348" i="3" s="1"/>
  <c r="H348" i="3" s="1"/>
  <c r="J348" i="3" s="1"/>
  <c r="E348" i="3" l="1"/>
  <c r="F348" i="3" s="1"/>
  <c r="G348" i="3" s="1"/>
  <c r="L348" i="3" s="1"/>
  <c r="I348" i="3" l="1"/>
  <c r="C349" i="3" s="1"/>
  <c r="H349" i="3" s="1"/>
  <c r="J349" i="3" s="1"/>
  <c r="E349" i="3" l="1"/>
  <c r="F349" i="3" s="1"/>
  <c r="G349" i="3" s="1"/>
  <c r="L349" i="3" s="1"/>
  <c r="I349" i="3" l="1"/>
  <c r="C350" i="3" s="1"/>
  <c r="E350" i="3" l="1"/>
  <c r="H350" i="3"/>
  <c r="J350" i="3" s="1"/>
  <c r="F350" i="3" l="1"/>
  <c r="G350" i="3" s="1"/>
  <c r="L350" i="3" s="1"/>
  <c r="I350" i="3" l="1"/>
  <c r="C351" i="3" s="1"/>
  <c r="H351" i="3" s="1"/>
  <c r="J351" i="3" s="1"/>
  <c r="E351" i="3"/>
  <c r="F351" i="3" l="1"/>
  <c r="G351" i="3" s="1"/>
  <c r="L351" i="3" s="1"/>
  <c r="I351" i="3" l="1"/>
  <c r="C352" i="3" s="1"/>
  <c r="H352" i="3" l="1"/>
  <c r="J352" i="3" s="1"/>
  <c r="E352" i="3"/>
  <c r="F352" i="3" l="1"/>
  <c r="G352" i="3" s="1"/>
  <c r="L352" i="3" s="1"/>
  <c r="I352" i="3" l="1"/>
  <c r="C353" i="3" s="1"/>
  <c r="H353" i="3" l="1"/>
  <c r="J353" i="3" s="1"/>
  <c r="K353" i="3" s="1"/>
  <c r="E353" i="3"/>
  <c r="F353" i="3" l="1"/>
  <c r="G353" i="3" s="1"/>
  <c r="L353" i="3" s="1"/>
  <c r="I353" i="3" l="1"/>
  <c r="AD28" i="2" l="1"/>
  <c r="AD29" i="2" s="1"/>
  <c r="C354" i="3"/>
  <c r="E354" i="3" l="1"/>
  <c r="H354" i="3"/>
  <c r="J354" i="3" s="1"/>
  <c r="AD39" i="2"/>
  <c r="AD68" i="2" s="1"/>
  <c r="AD36" i="2" s="1"/>
  <c r="AD34" i="2"/>
  <c r="AD35" i="2"/>
  <c r="F354" i="3" l="1"/>
  <c r="G354" i="3" s="1"/>
  <c r="L354" i="3" s="1"/>
  <c r="I354" i="3" l="1"/>
  <c r="C355" i="3" s="1"/>
  <c r="H355" i="3" l="1"/>
  <c r="J355" i="3" s="1"/>
  <c r="E355" i="3"/>
  <c r="F355" i="3" l="1"/>
  <c r="G355" i="3" s="1"/>
  <c r="L355" i="3" s="1"/>
  <c r="I355" i="3" l="1"/>
  <c r="C356" i="3" s="1"/>
  <c r="E356" i="3" l="1"/>
  <c r="H356" i="3"/>
  <c r="J356" i="3" s="1"/>
  <c r="F356" i="3" l="1"/>
  <c r="G356" i="3" s="1"/>
  <c r="L356" i="3" s="1"/>
  <c r="I356" i="3" l="1"/>
  <c r="C357" i="3" s="1"/>
  <c r="H357" i="3" s="1"/>
  <c r="J357" i="3" s="1"/>
  <c r="E357" i="3" l="1"/>
  <c r="F357" i="3" s="1"/>
  <c r="G357" i="3" s="1"/>
  <c r="L357" i="3" s="1"/>
  <c r="I357" i="3" l="1"/>
  <c r="C358" i="3" s="1"/>
  <c r="H358" i="3" l="1"/>
  <c r="J358" i="3" s="1"/>
  <c r="E358" i="3"/>
  <c r="F358" i="3" l="1"/>
  <c r="G358" i="3" s="1"/>
  <c r="L358" i="3" s="1"/>
  <c r="I358" i="3" l="1"/>
  <c r="C359" i="3" s="1"/>
  <c r="H359" i="3" l="1"/>
  <c r="J359" i="3" s="1"/>
  <c r="E359" i="3"/>
  <c r="F359" i="3" l="1"/>
  <c r="G359" i="3" s="1"/>
  <c r="L359" i="3" s="1"/>
  <c r="I359" i="3" l="1"/>
  <c r="C360" i="3" s="1"/>
  <c r="E360" i="3" l="1"/>
  <c r="H360" i="3"/>
  <c r="J360" i="3" s="1"/>
  <c r="F360" i="3" l="1"/>
  <c r="G360" i="3" s="1"/>
  <c r="L360" i="3" s="1"/>
  <c r="I360" i="3" l="1"/>
  <c r="C361" i="3" s="1"/>
  <c r="H361" i="3" s="1"/>
  <c r="J361" i="3" s="1"/>
  <c r="E361" i="3" l="1"/>
  <c r="F361" i="3" s="1"/>
  <c r="G361" i="3" s="1"/>
  <c r="L361" i="3" s="1"/>
  <c r="I361" i="3" l="1"/>
  <c r="C362" i="3" s="1"/>
  <c r="H362" i="3" s="1"/>
  <c r="J362" i="3" s="1"/>
  <c r="E362" i="3" l="1"/>
  <c r="F362" i="3"/>
  <c r="G362" i="3" s="1"/>
  <c r="L362" i="3" s="1"/>
  <c r="I362" i="3" l="1"/>
  <c r="C363" i="3" s="1"/>
  <c r="E363" i="3" l="1"/>
  <c r="H363" i="3"/>
  <c r="J363" i="3" s="1"/>
  <c r="F363" i="3" l="1"/>
  <c r="G363" i="3" s="1"/>
  <c r="L363" i="3" s="1"/>
  <c r="I363" i="3" l="1"/>
  <c r="C364" i="3" s="1"/>
  <c r="E364" i="3" l="1"/>
  <c r="H364" i="3"/>
  <c r="J364" i="3" s="1"/>
  <c r="F364" i="3" l="1"/>
  <c r="G364" i="3" s="1"/>
  <c r="L364" i="3" s="1"/>
  <c r="I364" i="3" l="1"/>
  <c r="C365" i="3" s="1"/>
  <c r="H365" i="3" s="1"/>
  <c r="J365" i="3" s="1"/>
  <c r="K365" i="3" s="1"/>
  <c r="E365" i="3" l="1"/>
  <c r="F365" i="3"/>
  <c r="G365" i="3" s="1"/>
  <c r="L365" i="3" s="1"/>
  <c r="I365" i="3" l="1"/>
  <c r="AE28" i="2" s="1"/>
  <c r="AE29" i="2" s="1"/>
  <c r="C366" i="3" l="1"/>
  <c r="H366" i="3" s="1"/>
  <c r="J366" i="3" s="1"/>
  <c r="E366" i="3"/>
  <c r="AE35" i="2"/>
  <c r="AE34" i="2"/>
  <c r="AE39" i="2"/>
  <c r="AE69" i="2" s="1"/>
  <c r="AE36" i="2" s="1"/>
  <c r="F366" i="3" l="1"/>
  <c r="G366" i="3" s="1"/>
  <c r="L366" i="3" s="1"/>
  <c r="I366" i="3" l="1"/>
  <c r="C367" i="3" s="1"/>
  <c r="H367" i="3" l="1"/>
  <c r="J367" i="3" s="1"/>
  <c r="E367" i="3"/>
  <c r="F367" i="3" l="1"/>
  <c r="G367" i="3" s="1"/>
  <c r="L367" i="3" s="1"/>
  <c r="I367" i="3" l="1"/>
  <c r="C368" i="3" s="1"/>
  <c r="E368" i="3" l="1"/>
  <c r="H368" i="3"/>
  <c r="J368" i="3" s="1"/>
  <c r="F368" i="3" l="1"/>
  <c r="G368" i="3" s="1"/>
  <c r="L368" i="3" s="1"/>
  <c r="I368" i="3" l="1"/>
  <c r="C369" i="3" s="1"/>
  <c r="E369" i="3" s="1"/>
  <c r="H369" i="3" l="1"/>
  <c r="J369" i="3" s="1"/>
  <c r="F369" i="3"/>
  <c r="G369" i="3" l="1"/>
  <c r="L369" i="3" s="1"/>
  <c r="I369" i="3" l="1"/>
  <c r="C370" i="3" s="1"/>
  <c r="H370" i="3" s="1"/>
  <c r="J370" i="3" s="1"/>
  <c r="E370" i="3" l="1"/>
  <c r="F370" i="3"/>
  <c r="G370" i="3" s="1"/>
  <c r="L370" i="3" s="1"/>
  <c r="I370" i="3" l="1"/>
  <c r="C371" i="3" s="1"/>
  <c r="H371" i="3" s="1"/>
  <c r="J371" i="3" s="1"/>
  <c r="E371" i="3" l="1"/>
  <c r="F371" i="3" s="1"/>
  <c r="G371" i="3" s="1"/>
  <c r="L371" i="3" s="1"/>
  <c r="I371" i="3" l="1"/>
  <c r="C372" i="3" s="1"/>
  <c r="E372" i="3" s="1"/>
  <c r="H372" i="3" l="1"/>
  <c r="J372" i="3" s="1"/>
  <c r="F372" i="3"/>
  <c r="G372" i="3" s="1"/>
  <c r="L372" i="3" s="1"/>
  <c r="I372" i="3" l="1"/>
  <c r="C373" i="3" s="1"/>
  <c r="E373" i="3" s="1"/>
  <c r="H373" i="3" l="1"/>
  <c r="J373" i="3" s="1"/>
  <c r="F373" i="3"/>
  <c r="G373" i="3" l="1"/>
  <c r="L373" i="3" l="1"/>
  <c r="I373" i="3"/>
  <c r="C374" i="3" s="1"/>
  <c r="H374" i="3" l="1"/>
  <c r="J374" i="3" s="1"/>
  <c r="E374" i="3"/>
  <c r="F374" i="3" s="1"/>
  <c r="G374" i="3" s="1"/>
  <c r="L374" i="3" s="1"/>
  <c r="I374" i="3" l="1"/>
  <c r="C375" i="3" s="1"/>
  <c r="H375" i="3" s="1"/>
  <c r="J375" i="3" s="1"/>
  <c r="E375" i="3"/>
  <c r="F375" i="3" s="1"/>
  <c r="G375" i="3" s="1"/>
  <c r="L375" i="3" s="1"/>
  <c r="I375" i="3" l="1"/>
  <c r="C376" i="3" s="1"/>
  <c r="H376" i="3" l="1"/>
  <c r="J376" i="3" s="1"/>
  <c r="E376" i="3"/>
  <c r="F376" i="3" l="1"/>
  <c r="G376" i="3" s="1"/>
  <c r="L376" i="3" s="1"/>
  <c r="I376" i="3" l="1"/>
  <c r="C377" i="3" s="1"/>
  <c r="H377" i="3" s="1"/>
  <c r="J377" i="3" s="1"/>
  <c r="K377" i="3" s="1"/>
  <c r="O46" i="1" s="1"/>
  <c r="E377" i="3" l="1"/>
  <c r="F377" i="3" s="1"/>
  <c r="G377" i="3" s="1"/>
  <c r="L377" i="3" s="1"/>
  <c r="I377" i="3"/>
  <c r="O56" i="1"/>
  <c r="AF28" i="2" l="1"/>
  <c r="AF29" i="2" s="1"/>
  <c r="C378" i="3"/>
  <c r="E378" i="3" l="1"/>
  <c r="H378" i="3"/>
  <c r="J378" i="3" s="1"/>
  <c r="AF39" i="2"/>
  <c r="AF70" i="2" s="1"/>
  <c r="AF36" i="2" s="1"/>
  <c r="AF34" i="2"/>
  <c r="AF35" i="2"/>
  <c r="F378" i="3" l="1"/>
  <c r="G378" i="3" s="1"/>
  <c r="I378" i="3"/>
  <c r="C379" i="3" s="1"/>
  <c r="E379" i="3" l="1"/>
  <c r="H379" i="3"/>
  <c r="J379" i="3" s="1"/>
  <c r="F379" i="3" l="1"/>
  <c r="G379" i="3" s="1"/>
  <c r="I379" i="3"/>
  <c r="C380" i="3" s="1"/>
  <c r="E380" i="3" l="1"/>
  <c r="H380" i="3"/>
  <c r="J380" i="3" s="1"/>
  <c r="I380" i="3" l="1"/>
  <c r="C381" i="3" s="1"/>
  <c r="F380" i="3"/>
  <c r="G380" i="3" s="1"/>
  <c r="E381" i="3" l="1"/>
  <c r="H381" i="3"/>
  <c r="J381" i="3" s="1"/>
  <c r="I381" i="3" l="1"/>
  <c r="C382" i="3" s="1"/>
  <c r="F381" i="3"/>
  <c r="G381" i="3" s="1"/>
  <c r="H382" i="3" l="1"/>
  <c r="J382" i="3" s="1"/>
  <c r="E382" i="3"/>
  <c r="I382" i="3" l="1"/>
  <c r="C383" i="3" s="1"/>
  <c r="F382" i="3"/>
  <c r="G382" i="3" s="1"/>
  <c r="H383" i="3" l="1"/>
  <c r="J383" i="3" s="1"/>
  <c r="E383" i="3"/>
  <c r="F383" i="3" l="1"/>
  <c r="G383" i="3" s="1"/>
  <c r="I383" i="3"/>
  <c r="C384" i="3" s="1"/>
  <c r="H384" i="3" l="1"/>
  <c r="J384" i="3" s="1"/>
  <c r="E384" i="3"/>
  <c r="F384" i="3" l="1"/>
  <c r="G384" i="3" s="1"/>
  <c r="I384" i="3"/>
  <c r="C385" i="3" s="1"/>
  <c r="E385" i="3" l="1"/>
  <c r="H385" i="3"/>
  <c r="J385" i="3" s="1"/>
  <c r="F385" i="3" l="1"/>
  <c r="G385" i="3" s="1"/>
  <c r="I385" i="3"/>
  <c r="C386" i="3" s="1"/>
  <c r="E386" i="3" l="1"/>
  <c r="H386" i="3"/>
  <c r="J386" i="3" s="1"/>
  <c r="F386" i="3" l="1"/>
  <c r="G386" i="3" s="1"/>
  <c r="I386" i="3"/>
  <c r="C387" i="3" s="1"/>
  <c r="H387" i="3" l="1"/>
  <c r="J387" i="3" s="1"/>
  <c r="E387" i="3"/>
  <c r="F387" i="3" l="1"/>
  <c r="G387" i="3" s="1"/>
  <c r="I387" i="3"/>
  <c r="C388" i="3" s="1"/>
  <c r="H388" i="3" l="1"/>
  <c r="J388" i="3" s="1"/>
  <c r="E388" i="3"/>
  <c r="F388" i="3" l="1"/>
  <c r="G388" i="3" s="1"/>
  <c r="I388" i="3"/>
  <c r="C389" i="3" s="1"/>
  <c r="H389" i="3" l="1"/>
  <c r="J389" i="3" s="1"/>
  <c r="E389" i="3"/>
  <c r="F389" i="3" l="1"/>
  <c r="G389" i="3" s="1"/>
  <c r="I389" i="3"/>
  <c r="C390" i="3" s="1"/>
  <c r="H390" i="3" l="1"/>
  <c r="J390" i="3" s="1"/>
  <c r="E390" i="3"/>
  <c r="I390" i="3" l="1"/>
  <c r="C391" i="3" s="1"/>
  <c r="F390" i="3"/>
  <c r="G390" i="3" s="1"/>
  <c r="H391" i="3" l="1"/>
  <c r="J391" i="3" s="1"/>
  <c r="E391" i="3"/>
  <c r="F391" i="3" l="1"/>
  <c r="G391" i="3" s="1"/>
  <c r="I391" i="3"/>
  <c r="C392" i="3" s="1"/>
  <c r="H392" i="3" l="1"/>
  <c r="J392" i="3" s="1"/>
  <c r="E392" i="3"/>
  <c r="F392" i="3" l="1"/>
  <c r="G392" i="3" s="1"/>
  <c r="I392" i="3"/>
  <c r="C393" i="3" s="1"/>
  <c r="H393" i="3" l="1"/>
  <c r="J393" i="3" s="1"/>
  <c r="E393" i="3"/>
  <c r="I393" i="3" l="1"/>
  <c r="C394" i="3" s="1"/>
  <c r="F393" i="3"/>
  <c r="G393" i="3" s="1"/>
  <c r="H394" i="3" l="1"/>
  <c r="J394" i="3" s="1"/>
  <c r="E394" i="3"/>
  <c r="F394" i="3" l="1"/>
  <c r="G394" i="3" s="1"/>
  <c r="I394" i="3"/>
  <c r="C395" i="3" s="1"/>
  <c r="H395" i="3" l="1"/>
  <c r="J395" i="3" s="1"/>
  <c r="E395" i="3"/>
  <c r="F395" i="3" l="1"/>
  <c r="G395" i="3" s="1"/>
  <c r="I395" i="3"/>
  <c r="C396" i="3" s="1"/>
  <c r="H396" i="3" l="1"/>
  <c r="J396" i="3" s="1"/>
  <c r="E396" i="3"/>
  <c r="F396" i="3" l="1"/>
  <c r="G396" i="3" s="1"/>
  <c r="I396" i="3"/>
  <c r="C397" i="3" s="1"/>
  <c r="H397" i="3" l="1"/>
  <c r="J397" i="3" s="1"/>
  <c r="E397" i="3"/>
  <c r="I397" i="3" l="1"/>
  <c r="C398" i="3" s="1"/>
  <c r="F397" i="3"/>
  <c r="G397" i="3" s="1"/>
  <c r="H398" i="3" l="1"/>
  <c r="J398" i="3" s="1"/>
  <c r="E398" i="3"/>
  <c r="F398" i="3" l="1"/>
  <c r="G398" i="3" s="1"/>
  <c r="I398" i="3"/>
  <c r="C399" i="3" s="1"/>
  <c r="E399" i="3" l="1"/>
  <c r="H399" i="3"/>
  <c r="J399" i="3" s="1"/>
  <c r="F399" i="3" l="1"/>
  <c r="G399" i="3" s="1"/>
  <c r="I399" i="3"/>
  <c r="C400" i="3" s="1"/>
  <c r="H400" i="3" l="1"/>
  <c r="J400" i="3" s="1"/>
  <c r="E400" i="3"/>
  <c r="F400" i="3" l="1"/>
  <c r="G400" i="3" s="1"/>
  <c r="I400" i="3"/>
  <c r="C401" i="3" s="1"/>
  <c r="H401" i="3" l="1"/>
  <c r="J401" i="3" s="1"/>
  <c r="E401" i="3"/>
  <c r="F401" i="3" l="1"/>
  <c r="G401" i="3" s="1"/>
  <c r="I401" i="3"/>
  <c r="C402" i="3" s="1"/>
  <c r="E402" i="3" l="1"/>
  <c r="H402" i="3"/>
  <c r="J402" i="3" s="1"/>
  <c r="I402" i="3" l="1"/>
  <c r="C403" i="3" s="1"/>
  <c r="F402" i="3"/>
  <c r="G402" i="3" s="1"/>
  <c r="H403" i="3" l="1"/>
  <c r="J403" i="3" s="1"/>
  <c r="E403" i="3"/>
  <c r="F403" i="3" l="1"/>
  <c r="G403" i="3" s="1"/>
  <c r="I403" i="3"/>
  <c r="C404" i="3" s="1"/>
  <c r="E404" i="3" l="1"/>
  <c r="H404" i="3"/>
  <c r="J404" i="3" s="1"/>
  <c r="I404" i="3" l="1"/>
  <c r="C405" i="3" s="1"/>
  <c r="F404" i="3"/>
  <c r="G404" i="3" s="1"/>
  <c r="E405" i="3" l="1"/>
  <c r="H405" i="3"/>
  <c r="J405" i="3" s="1"/>
  <c r="I405" i="3" l="1"/>
  <c r="C406" i="3" s="1"/>
  <c r="F405" i="3"/>
  <c r="G405" i="3" s="1"/>
  <c r="H406" i="3" l="1"/>
  <c r="J406" i="3" s="1"/>
  <c r="E406" i="3"/>
  <c r="F406" i="3" l="1"/>
  <c r="G406" i="3" s="1"/>
  <c r="I406" i="3"/>
  <c r="C407" i="3" s="1"/>
  <c r="H407" i="3" l="1"/>
  <c r="J407" i="3" s="1"/>
  <c r="E407" i="3"/>
  <c r="F407" i="3" l="1"/>
  <c r="G407" i="3" s="1"/>
  <c r="I407" i="3"/>
  <c r="C408" i="3" s="1"/>
  <c r="E408" i="3" l="1"/>
  <c r="H408" i="3"/>
  <c r="J408" i="3" s="1"/>
  <c r="F408" i="3" l="1"/>
  <c r="G408" i="3" s="1"/>
  <c r="I408" i="3"/>
  <c r="C409" i="3" s="1"/>
  <c r="H409" i="3" l="1"/>
  <c r="J409" i="3" s="1"/>
  <c r="E409" i="3"/>
  <c r="F409" i="3" l="1"/>
  <c r="G409" i="3" s="1"/>
  <c r="I409" i="3"/>
  <c r="C410" i="3" s="1"/>
  <c r="H410" i="3" l="1"/>
  <c r="J410" i="3" s="1"/>
  <c r="E410" i="3"/>
  <c r="F410" i="3" l="1"/>
  <c r="G410" i="3" s="1"/>
  <c r="I410" i="3"/>
  <c r="C411" i="3" s="1"/>
  <c r="E411" i="3" l="1"/>
  <c r="H411" i="3"/>
  <c r="J411" i="3" s="1"/>
  <c r="F411" i="3" l="1"/>
  <c r="G411" i="3" s="1"/>
  <c r="I411" i="3"/>
  <c r="C412" i="3" s="1"/>
  <c r="H412" i="3" l="1"/>
  <c r="J412" i="3" s="1"/>
  <c r="E412" i="3"/>
  <c r="F412" i="3" l="1"/>
  <c r="G412" i="3" s="1"/>
  <c r="I412" i="3"/>
  <c r="C413" i="3" s="1"/>
  <c r="H413" i="3" l="1"/>
  <c r="J413" i="3" s="1"/>
  <c r="E413" i="3"/>
  <c r="I413" i="3" l="1"/>
  <c r="C414" i="3" s="1"/>
  <c r="F413" i="3"/>
  <c r="G413" i="3" s="1"/>
  <c r="H414" i="3" l="1"/>
  <c r="J414" i="3" s="1"/>
  <c r="E414" i="3"/>
  <c r="I414" i="3" l="1"/>
  <c r="C415" i="3" s="1"/>
  <c r="F414" i="3"/>
  <c r="G414" i="3" s="1"/>
  <c r="H415" i="3" l="1"/>
  <c r="J415" i="3" s="1"/>
  <c r="E415" i="3"/>
  <c r="F415" i="3" l="1"/>
  <c r="G415" i="3" s="1"/>
  <c r="I415" i="3"/>
  <c r="C416" i="3" s="1"/>
  <c r="H416" i="3" l="1"/>
  <c r="J416" i="3" s="1"/>
  <c r="E416" i="3"/>
  <c r="F416" i="3" l="1"/>
  <c r="G416" i="3" s="1"/>
  <c r="I416" i="3"/>
  <c r="C417" i="3" s="1"/>
  <c r="H417" i="3" l="1"/>
  <c r="J417" i="3" s="1"/>
  <c r="E417" i="3"/>
  <c r="F417" i="3" l="1"/>
  <c r="G417" i="3" s="1"/>
  <c r="I417" i="3"/>
  <c r="C418" i="3" s="1"/>
  <c r="H418" i="3" l="1"/>
  <c r="J418" i="3" s="1"/>
  <c r="E418" i="3"/>
  <c r="I418" i="3" l="1"/>
  <c r="C419" i="3" s="1"/>
  <c r="F418" i="3"/>
  <c r="G418" i="3" s="1"/>
  <c r="H419" i="3" l="1"/>
  <c r="J419" i="3" s="1"/>
  <c r="E419" i="3"/>
  <c r="I419" i="3" l="1"/>
  <c r="C420" i="3" s="1"/>
  <c r="F419" i="3"/>
  <c r="G419" i="3" s="1"/>
  <c r="E420" i="3" l="1"/>
  <c r="H420" i="3"/>
  <c r="J420" i="3" s="1"/>
  <c r="I420" i="3" l="1"/>
  <c r="C421" i="3" s="1"/>
  <c r="F420" i="3"/>
  <c r="G420" i="3" s="1"/>
  <c r="H421" i="3" l="1"/>
  <c r="J421" i="3" s="1"/>
  <c r="E421" i="3"/>
  <c r="F421" i="3" l="1"/>
  <c r="G421" i="3" s="1"/>
  <c r="I421" i="3"/>
  <c r="C422" i="3" s="1"/>
  <c r="H422" i="3" l="1"/>
  <c r="J422" i="3" s="1"/>
  <c r="E422" i="3"/>
  <c r="F422" i="3" l="1"/>
  <c r="G422" i="3" s="1"/>
  <c r="I422" i="3"/>
  <c r="C423" i="3" s="1"/>
  <c r="H423" i="3" l="1"/>
  <c r="J423" i="3" s="1"/>
  <c r="E423" i="3"/>
  <c r="F423" i="3" l="1"/>
  <c r="G423" i="3" s="1"/>
  <c r="I423" i="3"/>
  <c r="C424" i="3" s="1"/>
  <c r="H424" i="3" l="1"/>
  <c r="J424" i="3" s="1"/>
  <c r="E424" i="3"/>
  <c r="I424" i="3" l="1"/>
  <c r="C425" i="3" s="1"/>
  <c r="F424" i="3"/>
  <c r="G424" i="3" s="1"/>
  <c r="H425" i="3" l="1"/>
  <c r="J425" i="3" s="1"/>
  <c r="E425" i="3"/>
  <c r="F425" i="3" l="1"/>
  <c r="G425" i="3" s="1"/>
  <c r="I425" i="3"/>
  <c r="C426" i="3" s="1"/>
  <c r="H426" i="3" l="1"/>
  <c r="J426" i="3" s="1"/>
  <c r="E426" i="3"/>
  <c r="F426" i="3" l="1"/>
  <c r="G426" i="3" s="1"/>
  <c r="I426" i="3"/>
  <c r="C427" i="3" s="1"/>
  <c r="H427" i="3" l="1"/>
  <c r="J427" i="3" s="1"/>
  <c r="E427" i="3"/>
  <c r="I427" i="3" l="1"/>
  <c r="C428" i="3" s="1"/>
  <c r="F427" i="3"/>
  <c r="G427" i="3" s="1"/>
  <c r="H428" i="3" l="1"/>
  <c r="J428" i="3" s="1"/>
  <c r="E428" i="3"/>
  <c r="I428" i="3" l="1"/>
  <c r="C429" i="3" s="1"/>
  <c r="F428" i="3"/>
  <c r="G428" i="3" s="1"/>
  <c r="H429" i="3" l="1"/>
  <c r="J429" i="3" s="1"/>
  <c r="E429" i="3"/>
  <c r="F429" i="3" l="1"/>
  <c r="G429" i="3" s="1"/>
  <c r="I429" i="3"/>
  <c r="C430" i="3" s="1"/>
  <c r="E430" i="3" l="1"/>
  <c r="H430" i="3"/>
  <c r="J430" i="3" s="1"/>
  <c r="F430" i="3" l="1"/>
  <c r="G430" i="3" s="1"/>
  <c r="I430" i="3"/>
  <c r="C431" i="3" s="1"/>
  <c r="H431" i="3" l="1"/>
  <c r="J431" i="3" s="1"/>
  <c r="E431" i="3"/>
  <c r="I431" i="3" l="1"/>
  <c r="C432" i="3" s="1"/>
  <c r="F431" i="3"/>
  <c r="G431" i="3" s="1"/>
  <c r="H432" i="3" l="1"/>
  <c r="J432" i="3" s="1"/>
  <c r="E432" i="3"/>
  <c r="F432" i="3" l="1"/>
  <c r="G432" i="3" s="1"/>
  <c r="I432" i="3"/>
  <c r="C433" i="3" s="1"/>
  <c r="H433" i="3" l="1"/>
  <c r="J433" i="3" s="1"/>
  <c r="E433" i="3"/>
  <c r="F433" i="3" l="1"/>
  <c r="G433" i="3" s="1"/>
  <c r="I433" i="3"/>
  <c r="C434" i="3" s="1"/>
  <c r="E434" i="3" l="1"/>
  <c r="H434" i="3"/>
  <c r="J434" i="3" s="1"/>
  <c r="I434" i="3" l="1"/>
  <c r="C435" i="3" s="1"/>
  <c r="F434" i="3"/>
  <c r="G434" i="3" s="1"/>
  <c r="H435" i="3" l="1"/>
  <c r="J435" i="3" s="1"/>
  <c r="E435" i="3"/>
  <c r="F435" i="3" l="1"/>
  <c r="G435" i="3" s="1"/>
  <c r="I435" i="3"/>
  <c r="C436" i="3" s="1"/>
  <c r="H436" i="3" l="1"/>
  <c r="J436" i="3" s="1"/>
  <c r="E436" i="3"/>
  <c r="I436" i="3" l="1"/>
  <c r="C437" i="3" s="1"/>
  <c r="F436" i="3"/>
  <c r="G436" i="3" s="1"/>
  <c r="E437" i="3" l="1"/>
  <c r="H437" i="3"/>
  <c r="J437" i="3" s="1"/>
  <c r="I437" i="3" l="1"/>
  <c r="C438" i="3" s="1"/>
  <c r="F437" i="3"/>
  <c r="G437" i="3" s="1"/>
  <c r="H438" i="3" l="1"/>
  <c r="J438" i="3" s="1"/>
  <c r="E438" i="3"/>
  <c r="F438" i="3" l="1"/>
  <c r="G438" i="3" s="1"/>
  <c r="I438" i="3"/>
  <c r="C439" i="3" s="1"/>
  <c r="H439" i="3" l="1"/>
  <c r="J439" i="3" s="1"/>
  <c r="E439" i="3"/>
  <c r="F439" i="3" l="1"/>
  <c r="G439" i="3" s="1"/>
  <c r="I439" i="3"/>
  <c r="C440" i="3" s="1"/>
  <c r="E440" i="3" l="1"/>
  <c r="H440" i="3"/>
  <c r="J440" i="3" s="1"/>
  <c r="F440" i="3" l="1"/>
  <c r="G440" i="3" s="1"/>
  <c r="I440" i="3"/>
  <c r="C441" i="3" s="1"/>
  <c r="H441" i="3" l="1"/>
  <c r="J441" i="3" s="1"/>
  <c r="E441" i="3"/>
  <c r="F441" i="3" l="1"/>
  <c r="G441" i="3" s="1"/>
  <c r="I441" i="3"/>
  <c r="C442" i="3" s="1"/>
  <c r="H442" i="3" l="1"/>
  <c r="J442" i="3" s="1"/>
  <c r="E442" i="3"/>
  <c r="F442" i="3" l="1"/>
  <c r="G442" i="3" s="1"/>
  <c r="I442" i="3"/>
  <c r="C443" i="3" s="1"/>
  <c r="E443" i="3" l="1"/>
  <c r="H443" i="3"/>
  <c r="J443" i="3" s="1"/>
  <c r="F443" i="3" l="1"/>
  <c r="G443" i="3" s="1"/>
  <c r="I443" i="3"/>
  <c r="C444" i="3" s="1"/>
  <c r="E444" i="3" l="1"/>
  <c r="H444" i="3"/>
  <c r="J444" i="3" s="1"/>
  <c r="I444" i="3" l="1"/>
  <c r="C445" i="3" s="1"/>
  <c r="F444" i="3"/>
  <c r="G444" i="3" s="1"/>
  <c r="H445" i="3" l="1"/>
  <c r="J445" i="3" s="1"/>
  <c r="E445" i="3"/>
  <c r="I445" i="3" l="1"/>
  <c r="C446" i="3" s="1"/>
  <c r="F445" i="3"/>
  <c r="G445" i="3" s="1"/>
  <c r="H446" i="3" l="1"/>
  <c r="J446" i="3" s="1"/>
  <c r="E446" i="3"/>
  <c r="F446" i="3" l="1"/>
  <c r="G446" i="3" s="1"/>
  <c r="I446" i="3"/>
  <c r="C447" i="3" s="1"/>
  <c r="H447" i="3" l="1"/>
  <c r="J447" i="3" s="1"/>
  <c r="E447" i="3"/>
  <c r="F447" i="3" l="1"/>
  <c r="G447" i="3" s="1"/>
  <c r="I447" i="3"/>
  <c r="C448" i="3" s="1"/>
  <c r="E448" i="3" l="1"/>
  <c r="H448" i="3"/>
  <c r="J448" i="3" s="1"/>
  <c r="I448" i="3" l="1"/>
  <c r="C449" i="3" s="1"/>
  <c r="F448" i="3"/>
  <c r="G448" i="3" s="1"/>
  <c r="E449" i="3" l="1"/>
  <c r="H449" i="3"/>
  <c r="J449" i="3" s="1"/>
  <c r="I449" i="3" l="1"/>
  <c r="C450" i="3" s="1"/>
  <c r="F449" i="3"/>
  <c r="G449" i="3" s="1"/>
  <c r="H450" i="3" l="1"/>
  <c r="J450" i="3" s="1"/>
  <c r="E450" i="3"/>
  <c r="F450" i="3" l="1"/>
  <c r="G450" i="3" s="1"/>
  <c r="I450" i="3"/>
  <c r="C451" i="3" s="1"/>
  <c r="H451" i="3" l="1"/>
  <c r="J451" i="3" s="1"/>
  <c r="E451" i="3"/>
  <c r="I451" i="3" l="1"/>
  <c r="C452" i="3" s="1"/>
  <c r="F451" i="3"/>
  <c r="G451" i="3" s="1"/>
  <c r="H452" i="3" l="1"/>
  <c r="J452" i="3" s="1"/>
  <c r="E452" i="3"/>
  <c r="I452" i="3" l="1"/>
  <c r="C453" i="3" s="1"/>
  <c r="F452" i="3"/>
  <c r="G452" i="3" s="1"/>
  <c r="H453" i="3" l="1"/>
  <c r="J453" i="3" s="1"/>
  <c r="E453" i="3"/>
  <c r="F453" i="3" l="1"/>
  <c r="G453" i="3" s="1"/>
  <c r="I453" i="3"/>
  <c r="C454" i="3" s="1"/>
  <c r="E454" i="3" l="1"/>
  <c r="H454" i="3"/>
  <c r="J454" i="3" s="1"/>
  <c r="F454" i="3" l="1"/>
  <c r="G454" i="3" s="1"/>
  <c r="I454" i="3"/>
  <c r="C455" i="3" s="1"/>
  <c r="H455" i="3" l="1"/>
  <c r="J455" i="3" s="1"/>
  <c r="E455" i="3"/>
  <c r="I455" i="3" l="1"/>
  <c r="C456" i="3" s="1"/>
  <c r="F455" i="3"/>
  <c r="G455" i="3" s="1"/>
  <c r="H456" i="3" l="1"/>
  <c r="J456" i="3" s="1"/>
  <c r="E456" i="3"/>
  <c r="F456" i="3" l="1"/>
  <c r="G456" i="3" s="1"/>
  <c r="I456" i="3"/>
  <c r="C457" i="3" s="1"/>
  <c r="E457" i="3" l="1"/>
  <c r="H457" i="3"/>
  <c r="J457" i="3" s="1"/>
  <c r="I457" i="3" l="1"/>
  <c r="C458" i="3" s="1"/>
  <c r="F457" i="3"/>
  <c r="G457" i="3" s="1"/>
  <c r="H458" i="3" l="1"/>
  <c r="J458" i="3" s="1"/>
  <c r="E458" i="3"/>
  <c r="I458" i="3" l="1"/>
  <c r="C459" i="3" s="1"/>
  <c r="F458" i="3"/>
  <c r="G458" i="3" s="1"/>
  <c r="E459" i="3" l="1"/>
  <c r="H459" i="3"/>
  <c r="J459" i="3" s="1"/>
  <c r="I459" i="3" l="1"/>
  <c r="C460" i="3" s="1"/>
  <c r="F459" i="3"/>
  <c r="G459" i="3" s="1"/>
  <c r="H460" i="3" l="1"/>
  <c r="J460" i="3" s="1"/>
  <c r="E460" i="3"/>
  <c r="I460" i="3" l="1"/>
  <c r="C461" i="3" s="1"/>
  <c r="F460" i="3"/>
  <c r="G460" i="3" s="1"/>
  <c r="H461" i="3" l="1"/>
  <c r="J461" i="3" s="1"/>
  <c r="E461" i="3"/>
  <c r="I461" i="3" l="1"/>
  <c r="C462" i="3" s="1"/>
  <c r="F461" i="3"/>
  <c r="G461" i="3" s="1"/>
  <c r="H462" i="3" l="1"/>
  <c r="J462" i="3" s="1"/>
  <c r="E462" i="3"/>
  <c r="F462" i="3" l="1"/>
  <c r="G462" i="3" s="1"/>
  <c r="I462" i="3"/>
  <c r="C463" i="3" s="1"/>
  <c r="H463" i="3" l="1"/>
  <c r="J463" i="3" s="1"/>
  <c r="E463" i="3"/>
  <c r="I463" i="3" l="1"/>
  <c r="C464" i="3" s="1"/>
  <c r="F463" i="3"/>
  <c r="G463" i="3" s="1"/>
  <c r="H464" i="3" l="1"/>
  <c r="J464" i="3" s="1"/>
  <c r="E464" i="3"/>
  <c r="F464" i="3" l="1"/>
  <c r="G464" i="3" s="1"/>
  <c r="I464" i="3"/>
  <c r="C465" i="3" s="1"/>
  <c r="E465" i="3" l="1"/>
  <c r="H465" i="3"/>
  <c r="J465" i="3" s="1"/>
  <c r="I465" i="3" l="1"/>
  <c r="C466" i="3" s="1"/>
  <c r="F465" i="3"/>
  <c r="G465" i="3" s="1"/>
  <c r="H466" i="3" l="1"/>
  <c r="J466" i="3" s="1"/>
  <c r="E466" i="3"/>
  <c r="F466" i="3" l="1"/>
  <c r="G466" i="3" s="1"/>
  <c r="I466" i="3"/>
  <c r="C467" i="3" s="1"/>
  <c r="H467" i="3" l="1"/>
  <c r="J467" i="3" s="1"/>
  <c r="E467" i="3"/>
  <c r="F467" i="3" l="1"/>
  <c r="G467" i="3" s="1"/>
  <c r="I467" i="3"/>
  <c r="C468" i="3" s="1"/>
  <c r="E468" i="3" l="1"/>
  <c r="H468" i="3"/>
  <c r="J468" i="3" s="1"/>
  <c r="F468" i="3" l="1"/>
  <c r="G468" i="3" s="1"/>
  <c r="I468" i="3"/>
  <c r="C469" i="3" s="1"/>
  <c r="E469" i="3" l="1"/>
  <c r="H469" i="3"/>
  <c r="J469" i="3" s="1"/>
  <c r="F469" i="3" l="1"/>
  <c r="G469" i="3" s="1"/>
  <c r="I469" i="3"/>
  <c r="C470" i="3" s="1"/>
  <c r="H470" i="3" l="1"/>
  <c r="J470" i="3" s="1"/>
  <c r="E470" i="3"/>
  <c r="I470" i="3" l="1"/>
  <c r="C471" i="3" s="1"/>
  <c r="F470" i="3"/>
  <c r="G470" i="3" s="1"/>
  <c r="H471" i="3" l="1"/>
  <c r="J471" i="3" s="1"/>
  <c r="E471" i="3"/>
  <c r="I471" i="3" l="1"/>
  <c r="C472" i="3" s="1"/>
  <c r="F471" i="3"/>
  <c r="G471" i="3" s="1"/>
  <c r="H472" i="3" l="1"/>
  <c r="J472" i="3" s="1"/>
  <c r="E472" i="3"/>
  <c r="I472" i="3" l="1"/>
  <c r="C473" i="3" s="1"/>
  <c r="F472" i="3"/>
  <c r="G472" i="3" s="1"/>
  <c r="H473" i="3" l="1"/>
  <c r="J473" i="3" s="1"/>
  <c r="E473" i="3"/>
  <c r="F473" i="3" l="1"/>
  <c r="G473" i="3" s="1"/>
  <c r="I473" i="3"/>
  <c r="C474" i="3" s="1"/>
  <c r="H474" i="3" l="1"/>
  <c r="J474" i="3" s="1"/>
  <c r="E474" i="3"/>
  <c r="F474" i="3" l="1"/>
  <c r="G474" i="3" s="1"/>
  <c r="I474" i="3"/>
  <c r="C475" i="3" s="1"/>
  <c r="H475" i="3" l="1"/>
  <c r="J475" i="3" s="1"/>
  <c r="E475" i="3"/>
  <c r="I475" i="3" l="1"/>
  <c r="C476" i="3" s="1"/>
  <c r="F475" i="3"/>
  <c r="G475" i="3" s="1"/>
  <c r="H476" i="3" l="1"/>
  <c r="J476" i="3" s="1"/>
  <c r="E476" i="3"/>
  <c r="I476" i="3" l="1"/>
  <c r="C477" i="3" s="1"/>
  <c r="F476" i="3"/>
  <c r="G476" i="3" s="1"/>
  <c r="H477" i="3" l="1"/>
  <c r="J477" i="3" s="1"/>
  <c r="E477" i="3"/>
  <c r="F477" i="3" l="1"/>
  <c r="G477" i="3" s="1"/>
  <c r="I477" i="3"/>
  <c r="C478" i="3" s="1"/>
  <c r="H478" i="3" l="1"/>
  <c r="J478" i="3" s="1"/>
  <c r="E478" i="3"/>
  <c r="F478" i="3" l="1"/>
  <c r="G478" i="3" s="1"/>
  <c r="I478" i="3"/>
  <c r="C479" i="3" s="1"/>
  <c r="H479" i="3" l="1"/>
  <c r="J479" i="3" s="1"/>
  <c r="E479" i="3"/>
  <c r="F479" i="3" l="1"/>
  <c r="G479" i="3" s="1"/>
  <c r="I479" i="3"/>
  <c r="C480" i="3" s="1"/>
  <c r="H480" i="3" l="1"/>
  <c r="J480" i="3" s="1"/>
  <c r="E480" i="3"/>
  <c r="I480" i="3" l="1"/>
  <c r="C481" i="3" s="1"/>
  <c r="F480" i="3"/>
  <c r="G480" i="3" s="1"/>
  <c r="H481" i="3" l="1"/>
  <c r="J481" i="3" s="1"/>
  <c r="E481" i="3"/>
  <c r="I481" i="3" l="1"/>
  <c r="C482" i="3" s="1"/>
  <c r="F481" i="3"/>
  <c r="G481" i="3" s="1"/>
  <c r="E482" i="3" l="1"/>
  <c r="H482" i="3"/>
  <c r="J482" i="3" s="1"/>
  <c r="I482" i="3" l="1"/>
  <c r="C483" i="3" s="1"/>
  <c r="F482" i="3"/>
  <c r="G482" i="3" s="1"/>
  <c r="E483" i="3" l="1"/>
  <c r="H483" i="3"/>
  <c r="J483" i="3" s="1"/>
  <c r="F483" i="3" l="1"/>
  <c r="G483" i="3" s="1"/>
  <c r="I483" i="3"/>
  <c r="C484" i="3" s="1"/>
  <c r="E484" i="3" l="1"/>
  <c r="H484" i="3"/>
  <c r="J484" i="3" s="1"/>
  <c r="I484" i="3" l="1"/>
  <c r="C485" i="3" s="1"/>
  <c r="F484" i="3"/>
  <c r="G484" i="3" s="1"/>
  <c r="H485" i="3" l="1"/>
  <c r="J485" i="3" s="1"/>
  <c r="E485" i="3"/>
  <c r="F485" i="3" l="1"/>
  <c r="G485" i="3" s="1"/>
  <c r="I485" i="3"/>
  <c r="C486" i="3" s="1"/>
  <c r="H486" i="3" l="1"/>
  <c r="J486" i="3" s="1"/>
  <c r="E486" i="3"/>
  <c r="I486" i="3" l="1"/>
  <c r="C487" i="3" s="1"/>
  <c r="F486" i="3"/>
  <c r="G486" i="3" s="1"/>
  <c r="H487" i="3" l="1"/>
  <c r="J487" i="3" s="1"/>
  <c r="E487" i="3"/>
  <c r="I487" i="3" l="1"/>
  <c r="C488" i="3" s="1"/>
  <c r="F487" i="3"/>
  <c r="G487" i="3" s="1"/>
  <c r="H488" i="3" l="1"/>
  <c r="J488" i="3" s="1"/>
  <c r="E488" i="3"/>
  <c r="F488" i="3" l="1"/>
  <c r="G488" i="3" s="1"/>
  <c r="I488" i="3"/>
  <c r="C489" i="3" s="1"/>
  <c r="H489" i="3" l="1"/>
  <c r="J489" i="3" s="1"/>
  <c r="E489" i="3"/>
  <c r="I489" i="3" l="1"/>
  <c r="C490" i="3" s="1"/>
  <c r="F489" i="3"/>
  <c r="G489" i="3" s="1"/>
  <c r="E490" i="3" l="1"/>
  <c r="H490" i="3"/>
  <c r="J490" i="3" s="1"/>
  <c r="I490" i="3" l="1"/>
  <c r="C491" i="3" s="1"/>
  <c r="F490" i="3"/>
  <c r="G490" i="3" s="1"/>
  <c r="H491" i="3" l="1"/>
  <c r="J491" i="3" s="1"/>
  <c r="E491" i="3"/>
  <c r="I491" i="3" l="1"/>
  <c r="C492" i="3" s="1"/>
  <c r="F491" i="3"/>
  <c r="G491" i="3" s="1"/>
  <c r="E492" i="3" l="1"/>
  <c r="H492" i="3"/>
  <c r="J492" i="3" s="1"/>
  <c r="F492" i="3" l="1"/>
  <c r="G492" i="3" s="1"/>
  <c r="I492" i="3"/>
  <c r="C493" i="3" s="1"/>
  <c r="H493" i="3" l="1"/>
  <c r="J493" i="3" s="1"/>
  <c r="E493" i="3"/>
  <c r="I493" i="3" l="1"/>
  <c r="C494" i="3" s="1"/>
  <c r="F493" i="3"/>
  <c r="G493" i="3" s="1"/>
  <c r="H494" i="3" l="1"/>
  <c r="J494" i="3" s="1"/>
  <c r="E494" i="3"/>
  <c r="F494" i="3" l="1"/>
  <c r="G494" i="3" s="1"/>
  <c r="I494" i="3"/>
  <c r="C495" i="3" s="1"/>
  <c r="H495" i="3" l="1"/>
  <c r="J495" i="3" s="1"/>
  <c r="E495" i="3"/>
  <c r="I495" i="3" l="1"/>
  <c r="C496" i="3" s="1"/>
  <c r="F495" i="3"/>
  <c r="G495" i="3" s="1"/>
  <c r="H496" i="3" l="1"/>
  <c r="J496" i="3" s="1"/>
  <c r="E496" i="3"/>
  <c r="F496" i="3" l="1"/>
  <c r="G496" i="3" s="1"/>
  <c r="I496" i="3"/>
  <c r="C497" i="3" s="1"/>
  <c r="J9" i="3" l="1"/>
  <c r="H497" i="3"/>
  <c r="J497" i="3" s="1"/>
  <c r="E497" i="3"/>
  <c r="J8" i="3" l="1"/>
  <c r="I497" i="3"/>
  <c r="J7" i="3" s="1"/>
  <c r="F497" i="3"/>
  <c r="G49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G56" authorId="0" shapeId="0" xr:uid="{00000000-0006-0000-0000-000001000000}">
      <text>
        <r>
          <rPr>
            <sz val="10"/>
            <color rgb="FF000000"/>
            <rFont val="Arial"/>
            <family val="2"/>
          </rPr>
          <t>ROI = COC + Tax Benefits + Equity (Principle pay down + Appreciation)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34" authorId="0" shapeId="0" xr:uid="{00000000-0006-0000-0100-000001000000}">
      <text>
        <r>
          <rPr>
            <sz val="10"/>
            <color rgb="FF000000"/>
            <rFont val="Arial"/>
            <family val="2"/>
          </rPr>
          <t>ROI = COC + Tax Benefits + Equity (Principle pay down + Appreciation)</t>
        </r>
      </text>
    </comment>
  </commentList>
</comments>
</file>

<file path=xl/sharedStrings.xml><?xml version="1.0" encoding="utf-8"?>
<sst xmlns="http://schemas.openxmlformats.org/spreadsheetml/2006/main" count="486" uniqueCount="164">
  <si>
    <t>Cash Flow and Equity Accumulation</t>
  </si>
  <si>
    <t>1 Year Performance Projection</t>
  </si>
  <si>
    <t>CASH FLOW</t>
  </si>
  <si>
    <t>YEAR 1</t>
  </si>
  <si>
    <t>YEAR 2</t>
  </si>
  <si>
    <t>YEAR 3</t>
  </si>
  <si>
    <t>YEAR 4</t>
  </si>
  <si>
    <t>YEAR 5</t>
  </si>
  <si>
    <t>YEAR 10</t>
  </si>
  <si>
    <t>YEAR 20</t>
  </si>
  <si>
    <t>YEAR 30</t>
  </si>
  <si>
    <t>Rental income increase</t>
  </si>
  <si>
    <t>Gross Scheduled Income</t>
  </si>
  <si>
    <t>Appreciation</t>
  </si>
  <si>
    <t>  less Vacancy Allowance</t>
  </si>
  <si>
    <t>Closing Costs Sell</t>
  </si>
  <si>
    <t>Total Operating Income</t>
  </si>
  <si>
    <t>Effective Tax Rate</t>
  </si>
  <si>
    <t> </t>
  </si>
  <si>
    <t>Square Feet</t>
  </si>
  <si>
    <t>Property Taxes</t>
  </si>
  <si>
    <t>Initial Market Value</t>
  </si>
  <si>
    <t>Insurance</t>
  </si>
  <si>
    <t>Purchase Price</t>
  </si>
  <si>
    <t>Homeowners Association</t>
  </si>
  <si>
    <t>Downpayment</t>
  </si>
  <si>
    <t>Maintenance Reserve</t>
  </si>
  <si>
    <t>Loan Origination Fees</t>
  </si>
  <si>
    <t>Property Management</t>
  </si>
  <si>
    <t>Depreciable Closing Costs</t>
  </si>
  <si>
    <t>*Estimated closing costs</t>
  </si>
  <si>
    <t>Other</t>
  </si>
  <si>
    <t>Other Closing Costs and Fixup</t>
  </si>
  <si>
    <t>Total Operating Expenses</t>
  </si>
  <si>
    <t>Initial Cash Invested</t>
  </si>
  <si>
    <t>Cost per Square Foot</t>
  </si>
  <si>
    <t>Net Operating Income (NOI)</t>
  </si>
  <si>
    <t>Monthly Rent per Square Foot</t>
  </si>
  <si>
    <t>  less Mortgage Expense</t>
  </si>
  <si>
    <t>ANNUAL CASH FLOW</t>
  </si>
  <si>
    <t>Income</t>
  </si>
  <si>
    <t>Monthly</t>
  </si>
  <si>
    <t>Annual</t>
  </si>
  <si>
    <t>MONTHLY CASH FLOW</t>
  </si>
  <si>
    <t>Gross Rent</t>
  </si>
  <si>
    <t>Vacancy Losses</t>
  </si>
  <si>
    <t>TAX BENEFITS</t>
  </si>
  <si>
    <t>Operating Income</t>
  </si>
  <si>
    <t>Depreciation</t>
  </si>
  <si>
    <t>Mortgage Interest</t>
  </si>
  <si>
    <t>Expenses</t>
  </si>
  <si>
    <t>EQUITY ACCUMULATION</t>
  </si>
  <si>
    <t>Property Value</t>
  </si>
  <si>
    <t>Management Fees</t>
  </si>
  <si>
    <t>  less Mortgage Balance</t>
  </si>
  <si>
    <t>Leasing/Advertising Fees</t>
  </si>
  <si>
    <t>EQUITY (WEALTH)</t>
  </si>
  <si>
    <t>Association Fees</t>
  </si>
  <si>
    <t>Maintenance</t>
  </si>
  <si>
    <t>FINANCIAL PERFORMANCE</t>
  </si>
  <si>
    <t>Capitalization (Cap) Rate</t>
  </si>
  <si>
    <t>Operating Expenses</t>
  </si>
  <si>
    <t>Cash on Cash Return (COC)</t>
  </si>
  <si>
    <t>Return on Investment (ROI)</t>
  </si>
  <si>
    <t>Net Performance</t>
  </si>
  <si>
    <t>ROI after sale</t>
  </si>
  <si>
    <t>Net Operating Income</t>
  </si>
  <si>
    <t>- Mortgage Payments</t>
  </si>
  <si>
    <t xml:space="preserve"> = Cash Flow</t>
  </si>
  <si>
    <t>+ Principal Reduction</t>
  </si>
  <si>
    <t>+ First-Year Appreciation</t>
  </si>
  <si>
    <t xml:space="preserve"> = Gross Equity Income</t>
  </si>
  <si>
    <t>+ Tax Savings</t>
  </si>
  <si>
    <t xml:space="preserve"> = GEI w/Tax Savings</t>
  </si>
  <si>
    <t>Mortgage Info</t>
  </si>
  <si>
    <t>First</t>
  </si>
  <si>
    <t>Second</t>
  </si>
  <si>
    <t>Loan-to-Value Ratio</t>
  </si>
  <si>
    <t>Loan Amount</t>
  </si>
  <si>
    <t>Monthly Payment</t>
  </si>
  <si>
    <t>Loan Type</t>
  </si>
  <si>
    <t>Amortizing Fixed</t>
  </si>
  <si>
    <t>Term</t>
  </si>
  <si>
    <t>30 Years</t>
  </si>
  <si>
    <t>Interest Rate</t>
  </si>
  <si>
    <t>Monthly PMI</t>
  </si>
  <si>
    <t>Financial Indicators</t>
  </si>
  <si>
    <t>Debt Coverage Ratio</t>
  </si>
  <si>
    <t>Annual Gross Rent Multiplier</t>
  </si>
  <si>
    <t>Monthly Gross Rent Multiplier</t>
  </si>
  <si>
    <t>Capitalization Rate</t>
  </si>
  <si>
    <t>Cash on Cash Return</t>
  </si>
  <si>
    <t>Total Return on Investment</t>
  </si>
  <si>
    <t>Total ROI with Tax Savings</t>
  </si>
  <si>
    <t>Assumptions</t>
  </si>
  <si>
    <t>Real Estate Appreciation Rate</t>
  </si>
  <si>
    <t>Vacancy Rate</t>
  </si>
  <si>
    <t>Management Fee</t>
  </si>
  <si>
    <t>Maintenance Percentage</t>
  </si>
  <si>
    <t>YEAR 6</t>
  </si>
  <si>
    <t>YEAR 7</t>
  </si>
  <si>
    <t>YEAR 8</t>
  </si>
  <si>
    <t>YEAR 9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</si>
  <si>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</si>
  <si>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</si>
  <si>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</si>
  <si>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</si>
  <si>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</si>
  <si>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</si>
  <si>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</si>
  <si>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</si>
  <si>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</si>
  <si>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</si>
  <si>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</si>
  <si>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</si>
  <si>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</si>
  <si>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</si>
  <si>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</si>
  <si>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</si>
  <si>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</si>
  <si>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</si>
  <si>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IRR after sale</t>
  </si>
  <si>
    <t>Cash flow in year</t>
  </si>
  <si>
    <t>Net after sale</t>
  </si>
  <si>
    <t>Year</t>
  </si>
  <si>
    <t>Cash flows for IRR</t>
  </si>
  <si>
    <t>Loan Amortization Schedule</t>
  </si>
  <si>
    <t>Enter values</t>
  </si>
  <si>
    <t>Loan summary</t>
  </si>
  <si>
    <t>Loan amount</t>
  </si>
  <si>
    <t>Loan amount and interest comes from</t>
  </si>
  <si>
    <t>Scheduled payment</t>
  </si>
  <si>
    <t>Annual interest rate</t>
  </si>
  <si>
    <t>Leveraged return page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</si>
  <si>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</si>
  <si>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</si>
  <si>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</si>
  <si>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</si>
  <si>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</si>
  <si>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</si>
  <si>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</si>
  <si>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</si>
  <si>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</si>
  <si>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</si>
  <si>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</si>
  <si>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</si>
  <si>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</si>
  <si>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</si>
  <si>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</si>
  <si>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</si>
  <si>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</si>
  <si>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</si>
  <si>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</si>
  <si>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Princple % of Payment</t>
  </si>
  <si>
    <t>Rent Growth</t>
  </si>
  <si>
    <t>Rent growth</t>
  </si>
  <si>
    <t>Starting rent</t>
  </si>
  <si>
    <t>Rent</t>
  </si>
  <si>
    <t>Cumulative Rent</t>
  </si>
  <si>
    <t>Please consult CPA for Proper Tax Savings calculation as we cannot give Tax or Legal advice.</t>
  </si>
  <si>
    <t>Taxes shown are estimated country rates</t>
  </si>
  <si>
    <t>Insurance quotes shown are estimated average policy</t>
  </si>
  <si>
    <t xml:space="preserve">Returns estimates and are not guaranteed. </t>
  </si>
  <si>
    <t>2337 Colonial Hills, Southaven, MS 38671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</si>
</sst>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\$#,##0_);[Red]&quot;($&quot;#,##0\)"/>
    <numFmt numFmtId="165" formatCode="0.0%;[Red]\-0.0%"/>
    <numFmt numFmtId="166" formatCode="0.00%;[Red]\-0.00%"/>
    <numFmt numFmtId="167" formatCode="_(\$* #,##0.00_);_(\$* \(#,##0.00\);_(\$* \-??_);_(@_)"/>
    <numFmt numFmtId="168" formatCode="0.00?%_)"/>
    <numFmt numFmtId="169" formatCode="0_)"/>
    <numFmt numFmtId="170" formatCode="m/d/yyyy"/>
    <numFmt numFmtId="171" formatCode="&quot;$&quot;#,##0.00;[Red]&quot;$&quot;#,##0.00"/>
  </numFmts>
  <fonts count="35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Book Antiqua"/>
      <family val="1"/>
    </font>
    <font>
      <sz val="11"/>
      <color indexed="8"/>
      <name val="Agency FB"/>
      <family val="2"/>
    </font>
    <font>
      <sz val="11"/>
      <color indexed="59"/>
      <name val="Agency FB"/>
      <family val="2"/>
    </font>
    <font>
      <b/>
      <sz val="11"/>
      <color indexed="61"/>
      <name val="Agency FB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5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 tint="0.499984740745262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59"/>
      <name val="Calibri"/>
      <family val="2"/>
      <scheme val="minor"/>
    </font>
    <font>
      <b/>
      <sz val="10"/>
      <color indexed="6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 (Body)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E00000"/>
      <name val="Calibri"/>
      <family val="2"/>
      <scheme val="minor"/>
    </font>
    <font>
      <sz val="12"/>
      <color indexed="5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4A4A4A"/>
      <name val="Helvetic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41"/>
      </patternFill>
    </fill>
    <fill>
      <patternFill patternType="solid">
        <fgColor indexed="46"/>
        <bgColor indexed="41"/>
      </patternFill>
    </fill>
    <fill>
      <patternFill patternType="solid">
        <fgColor indexed="34"/>
        <bgColor indexed="22"/>
      </patternFill>
    </fill>
    <fill>
      <patternFill patternType="solid">
        <fgColor indexed="13"/>
        <bgColor indexed="43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46"/>
      </patternFill>
    </fill>
    <fill>
      <patternFill patternType="solid">
        <fgColor rgb="FF30BDCB"/>
        <bgColor indexed="49"/>
      </patternFill>
    </fill>
    <fill>
      <patternFill patternType="solid">
        <fgColor rgb="FF30BDCB"/>
        <bgColor indexed="64"/>
      </patternFill>
    </fill>
    <fill>
      <patternFill patternType="solid">
        <fgColor rgb="FF30BDCB"/>
        <bgColor indexed="42"/>
      </patternFill>
    </fill>
    <fill>
      <patternFill patternType="solid">
        <fgColor theme="0" tint="-0.14999847407452621"/>
        <bgColor indexed="46"/>
      </patternFill>
    </fill>
    <fill>
      <patternFill patternType="solid">
        <fgColor theme="0" tint="-0.14999847407452621"/>
        <bgColor indexed="43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4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46"/>
      </patternFill>
    </fill>
    <fill>
      <patternFill patternType="solid">
        <fgColor rgb="FF30BDCB"/>
        <bgColor indexed="41"/>
      </patternFill>
    </fill>
    <fill>
      <patternFill patternType="solid">
        <fgColor rgb="FF30BDCB"/>
        <bgColor indexed="1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30BDCB"/>
        <bgColor indexed="31"/>
      </patternFill>
    </fill>
    <fill>
      <patternFill patternType="solid">
        <fgColor rgb="FFE00000"/>
        <bgColor indexed="22"/>
      </patternFill>
    </fill>
    <fill>
      <patternFill patternType="solid">
        <fgColor rgb="FFE00000"/>
        <bgColor indexed="49"/>
      </patternFill>
    </fill>
    <fill>
      <patternFill patternType="solid">
        <fgColor rgb="FFE00000"/>
        <bgColor indexed="64"/>
      </patternFill>
    </fill>
    <fill>
      <patternFill patternType="solid">
        <fgColor rgb="FFE00000"/>
        <bgColor indexed="31"/>
      </patternFill>
    </fill>
    <fill>
      <patternFill patternType="solid">
        <fgColor rgb="FFE00000"/>
        <bgColor indexed="15"/>
      </patternFill>
    </fill>
    <fill>
      <patternFill patternType="solid">
        <fgColor theme="5" tint="0.59999389629810485"/>
        <bgColor indexed="4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46"/>
      </patternFill>
    </fill>
    <fill>
      <patternFill patternType="solid">
        <fgColor theme="5" tint="0.59999389629810485"/>
        <bgColor indexed="22"/>
      </patternFill>
    </fill>
    <fill>
      <patternFill patternType="solid">
        <fgColor theme="5" tint="0.59999389629810485"/>
        <bgColor indexed="42"/>
      </patternFill>
    </fill>
  </fills>
  <borders count="35">
    <border>
      <left/>
      <right/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7" fontId="2" fillId="0" borderId="0"/>
    <xf numFmtId="0" fontId="3" fillId="2" borderId="0"/>
    <xf numFmtId="0" fontId="5" fillId="3" borderId="1"/>
    <xf numFmtId="0" fontId="4" fillId="4" borderId="1"/>
    <xf numFmtId="0" fontId="2" fillId="0" borderId="0"/>
  </cellStyleXfs>
  <cellXfs count="202">
    <xf numFmtId="0" fontId="0" fillId="0" borderId="0" xfId="0"/>
    <xf numFmtId="0" fontId="6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9" borderId="0" xfId="0" applyFont="1" applyFill="1"/>
    <xf numFmtId="0" fontId="7" fillId="10" borderId="0" xfId="0" applyFont="1" applyFill="1" applyAlignment="1">
      <alignment wrapText="1"/>
    </xf>
    <xf numFmtId="0" fontId="6" fillId="16" borderId="0" xfId="0" applyFont="1" applyFill="1"/>
    <xf numFmtId="0" fontId="9" fillId="19" borderId="0" xfId="0" applyFont="1" applyFill="1" applyAlignment="1">
      <alignment wrapText="1"/>
    </xf>
    <xf numFmtId="0" fontId="14" fillId="6" borderId="0" xfId="5" applyFont="1" applyFill="1"/>
    <xf numFmtId="0" fontId="6" fillId="0" borderId="0" xfId="5" applyFont="1"/>
    <xf numFmtId="0" fontId="6" fillId="6" borderId="0" xfId="5" applyFont="1" applyFill="1" applyAlignment="1">
      <alignment horizontal="left"/>
    </xf>
    <xf numFmtId="0" fontId="6" fillId="6" borderId="2" xfId="5" applyFont="1" applyFill="1" applyBorder="1" applyAlignment="1">
      <alignment horizontal="left"/>
    </xf>
    <xf numFmtId="0" fontId="6" fillId="6" borderId="2" xfId="5" applyFont="1" applyFill="1" applyBorder="1"/>
    <xf numFmtId="0" fontId="6" fillId="6" borderId="0" xfId="5" applyFont="1" applyFill="1"/>
    <xf numFmtId="0" fontId="15" fillId="18" borderId="3" xfId="2" applyFont="1" applyFill="1" applyBorder="1" applyAlignment="1">
      <alignment horizontal="right"/>
    </xf>
    <xf numFmtId="0" fontId="15" fillId="2" borderId="3" xfId="2" applyFont="1" applyBorder="1" applyAlignment="1">
      <alignment horizontal="right"/>
    </xf>
    <xf numFmtId="0" fontId="6" fillId="6" borderId="4" xfId="5" applyFont="1" applyFill="1" applyBorder="1" applyAlignment="1">
      <alignment horizontal="left"/>
    </xf>
    <xf numFmtId="0" fontId="7" fillId="6" borderId="0" xfId="5" applyFont="1" applyFill="1" applyAlignment="1">
      <alignment horizontal="right"/>
    </xf>
    <xf numFmtId="167" fontId="16" fillId="4" borderId="1" xfId="4" applyNumberFormat="1" applyFont="1" applyAlignment="1" applyProtection="1">
      <alignment horizontal="right"/>
      <protection locked="0"/>
    </xf>
    <xf numFmtId="0" fontId="6" fillId="0" borderId="0" xfId="5" applyFont="1" applyAlignment="1">
      <alignment horizontal="left"/>
    </xf>
    <xf numFmtId="0" fontId="6" fillId="6" borderId="0" xfId="5" applyFont="1" applyFill="1" applyAlignment="1">
      <alignment horizontal="right"/>
    </xf>
    <xf numFmtId="167" fontId="17" fillId="3" borderId="1" xfId="3" applyNumberFormat="1" applyFont="1" applyAlignment="1">
      <alignment horizontal="right"/>
    </xf>
    <xf numFmtId="168" fontId="16" fillId="4" borderId="1" xfId="4" applyNumberFormat="1" applyFont="1" applyAlignment="1" applyProtection="1">
      <alignment horizontal="right"/>
      <protection locked="0"/>
    </xf>
    <xf numFmtId="169" fontId="17" fillId="3" borderId="1" xfId="3" applyNumberFormat="1" applyFont="1" applyAlignment="1">
      <alignment horizontal="right"/>
    </xf>
    <xf numFmtId="0" fontId="6" fillId="6" borderId="5" xfId="5" applyFont="1" applyFill="1" applyBorder="1" applyAlignment="1">
      <alignment horizontal="left"/>
    </xf>
    <xf numFmtId="0" fontId="6" fillId="6" borderId="2" xfId="5" applyFont="1" applyFill="1" applyBorder="1" applyAlignment="1">
      <alignment horizontal="right"/>
    </xf>
    <xf numFmtId="0" fontId="7" fillId="6" borderId="2" xfId="5" applyFont="1" applyFill="1" applyBorder="1" applyAlignment="1">
      <alignment horizontal="right"/>
    </xf>
    <xf numFmtId="167" fontId="16" fillId="0" borderId="0" xfId="0" applyNumberFormat="1" applyFont="1" applyAlignment="1" applyProtection="1">
      <alignment horizontal="right"/>
      <protection locked="0"/>
    </xf>
    <xf numFmtId="0" fontId="6" fillId="6" borderId="6" xfId="5" applyFont="1" applyFill="1" applyBorder="1" applyAlignment="1" applyProtection="1">
      <alignment horizontal="left"/>
      <protection locked="0"/>
    </xf>
    <xf numFmtId="0" fontId="6" fillId="6" borderId="7" xfId="5" applyFont="1" applyFill="1" applyBorder="1" applyAlignment="1">
      <alignment horizontal="left"/>
    </xf>
    <xf numFmtId="0" fontId="15" fillId="18" borderId="8" xfId="2" applyFont="1" applyFill="1" applyBorder="1" applyAlignment="1">
      <alignment horizontal="center" vertical="center" wrapText="1"/>
    </xf>
    <xf numFmtId="0" fontId="15" fillId="18" borderId="9" xfId="2" applyFont="1" applyFill="1" applyBorder="1" applyAlignment="1">
      <alignment horizontal="center" vertical="center" wrapText="1"/>
    </xf>
    <xf numFmtId="0" fontId="15" fillId="18" borderId="10" xfId="2" applyFont="1" applyFill="1" applyBorder="1" applyAlignment="1">
      <alignment horizontal="center" vertical="center" wrapText="1"/>
    </xf>
    <xf numFmtId="0" fontId="6" fillId="0" borderId="0" xfId="5" applyFont="1" applyAlignment="1">
      <alignment wrapText="1"/>
    </xf>
    <xf numFmtId="0" fontId="19" fillId="6" borderId="0" xfId="5" applyFont="1" applyFill="1" applyAlignment="1">
      <alignment horizontal="left"/>
    </xf>
    <xf numFmtId="170" fontId="19" fillId="6" borderId="0" xfId="5" applyNumberFormat="1" applyFont="1" applyFill="1" applyAlignment="1">
      <alignment horizontal="right"/>
    </xf>
    <xf numFmtId="167" fontId="19" fillId="6" borderId="0" xfId="1" applyFont="1" applyFill="1" applyAlignment="1">
      <alignment horizontal="right"/>
    </xf>
    <xf numFmtId="167" fontId="19" fillId="6" borderId="0" xfId="0" applyNumberFormat="1" applyFont="1" applyFill="1" applyAlignment="1">
      <alignment horizontal="right"/>
    </xf>
    <xf numFmtId="0" fontId="20" fillId="6" borderId="0" xfId="5" applyFont="1" applyFill="1" applyAlignment="1">
      <alignment horizontal="left"/>
    </xf>
    <xf numFmtId="170" fontId="20" fillId="6" borderId="0" xfId="5" applyNumberFormat="1" applyFont="1" applyFill="1" applyAlignment="1">
      <alignment horizontal="right"/>
    </xf>
    <xf numFmtId="167" fontId="20" fillId="6" borderId="0" xfId="1" applyFont="1" applyFill="1" applyAlignment="1">
      <alignment horizontal="right"/>
    </xf>
    <xf numFmtId="167" fontId="20" fillId="6" borderId="0" xfId="0" applyNumberFormat="1" applyFont="1" applyFill="1" applyAlignment="1">
      <alignment horizontal="right"/>
    </xf>
    <xf numFmtId="0" fontId="6" fillId="0" borderId="0" xfId="5" applyFont="1" applyAlignment="1">
      <alignment horizontal="center"/>
    </xf>
    <xf numFmtId="0" fontId="18" fillId="0" borderId="0" xfId="2" applyFont="1" applyFill="1" applyAlignment="1">
      <alignment horizontal="left"/>
    </xf>
    <xf numFmtId="0" fontId="18" fillId="0" borderId="0" xfId="2" applyFont="1" applyFill="1" applyAlignment="1">
      <alignment horizontal="left" wrapText="1"/>
    </xf>
    <xf numFmtId="0" fontId="18" fillId="0" borderId="0" xfId="2" applyFont="1" applyFill="1"/>
    <xf numFmtId="10" fontId="6" fillId="0" borderId="0" xfId="5" applyNumberFormat="1" applyFont="1"/>
    <xf numFmtId="167" fontId="13" fillId="4" borderId="1" xfId="4" applyNumberFormat="1" applyFont="1" applyAlignment="1" applyProtection="1">
      <alignment horizontal="right"/>
      <protection locked="0"/>
    </xf>
    <xf numFmtId="0" fontId="6" fillId="15" borderId="0" xfId="5" applyFont="1" applyFill="1" applyAlignment="1">
      <alignment horizontal="left"/>
    </xf>
    <xf numFmtId="0" fontId="6" fillId="15" borderId="0" xfId="5" applyFont="1" applyFill="1"/>
    <xf numFmtId="168" fontId="13" fillId="4" borderId="1" xfId="4" applyNumberFormat="1" applyFont="1" applyAlignment="1" applyProtection="1">
      <alignment horizontal="right"/>
      <protection locked="0"/>
    </xf>
    <xf numFmtId="169" fontId="13" fillId="4" borderId="1" xfId="4" applyNumberFormat="1" applyFont="1" applyAlignment="1" applyProtection="1">
      <alignment horizontal="right"/>
      <protection locked="0"/>
    </xf>
    <xf numFmtId="170" fontId="13" fillId="4" borderId="1" xfId="4" applyNumberFormat="1" applyFont="1" applyAlignment="1" applyProtection="1">
      <alignment horizontal="right"/>
      <protection locked="0"/>
    </xf>
    <xf numFmtId="0" fontId="6" fillId="0" borderId="2" xfId="5" applyFont="1" applyBorder="1" applyAlignment="1">
      <alignment horizontal="left"/>
    </xf>
    <xf numFmtId="0" fontId="6" fillId="0" borderId="2" xfId="5" applyFont="1" applyBorder="1"/>
    <xf numFmtId="10" fontId="6" fillId="0" borderId="0" xfId="5" applyNumberFormat="1" applyFont="1" applyAlignment="1">
      <alignment wrapText="1"/>
    </xf>
    <xf numFmtId="0" fontId="18" fillId="18" borderId="2" xfId="2" applyFont="1" applyFill="1" applyBorder="1" applyAlignment="1">
      <alignment horizontal="left"/>
    </xf>
    <xf numFmtId="0" fontId="18" fillId="18" borderId="2" xfId="2" applyFont="1" applyFill="1" applyBorder="1" applyAlignment="1">
      <alignment horizontal="left" wrapText="1"/>
    </xf>
    <xf numFmtId="167" fontId="19" fillId="6" borderId="0" xfId="1" applyFont="1" applyFill="1" applyAlignment="1" applyProtection="1">
      <alignment horizontal="right"/>
      <protection locked="0"/>
    </xf>
    <xf numFmtId="167" fontId="20" fillId="6" borderId="0" xfId="1" applyFont="1" applyFill="1" applyAlignment="1" applyProtection="1">
      <alignment horizontal="right"/>
      <protection locked="0"/>
    </xf>
    <xf numFmtId="0" fontId="11" fillId="0" borderId="0" xfId="0" applyFont="1"/>
    <xf numFmtId="0" fontId="7" fillId="9" borderId="0" xfId="0" applyFont="1" applyFill="1" applyAlignment="1">
      <alignment wrapText="1"/>
    </xf>
    <xf numFmtId="0" fontId="7" fillId="0" borderId="0" xfId="0" applyFont="1" applyAlignment="1">
      <alignment horizontal="center"/>
    </xf>
    <xf numFmtId="0" fontId="7" fillId="7" borderId="0" xfId="0" applyFont="1" applyFill="1"/>
    <xf numFmtId="0" fontId="6" fillId="7" borderId="0" xfId="0" applyFont="1" applyFill="1"/>
    <xf numFmtId="0" fontId="6" fillId="0" borderId="0" xfId="0" applyFont="1" applyAlignment="1">
      <alignment horizontal="center"/>
    </xf>
    <xf numFmtId="0" fontId="6" fillId="20" borderId="0" xfId="0" applyFont="1" applyFill="1" applyAlignment="1">
      <alignment wrapText="1"/>
    </xf>
    <xf numFmtId="0" fontId="6" fillId="16" borderId="0" xfId="0" applyFont="1" applyFill="1" applyAlignment="1">
      <alignment wrapText="1"/>
    </xf>
    <xf numFmtId="0" fontId="11" fillId="9" borderId="0" xfId="0" applyFont="1" applyFill="1"/>
    <xf numFmtId="0" fontId="10" fillId="21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10" fontId="6" fillId="20" borderId="0" xfId="0" applyNumberFormat="1" applyFont="1" applyFill="1" applyAlignment="1">
      <alignment wrapText="1"/>
    </xf>
    <xf numFmtId="10" fontId="6" fillId="16" borderId="0" xfId="0" applyNumberFormat="1" applyFont="1" applyFill="1" applyAlignment="1">
      <alignment wrapText="1"/>
    </xf>
    <xf numFmtId="0" fontId="21" fillId="16" borderId="0" xfId="0" applyFont="1" applyFill="1" applyAlignment="1">
      <alignment vertical="top" wrapText="1"/>
    </xf>
    <xf numFmtId="0" fontId="22" fillId="0" borderId="0" xfId="0" applyFont="1" applyProtection="1">
      <protection locked="0"/>
    </xf>
    <xf numFmtId="0" fontId="25" fillId="0" borderId="0" xfId="0" applyFont="1" applyAlignment="1" applyProtection="1">
      <alignment horizontal="right"/>
      <protection locked="0"/>
    </xf>
    <xf numFmtId="0" fontId="25" fillId="0" borderId="0" xfId="0" applyFont="1"/>
    <xf numFmtId="0" fontId="25" fillId="0" borderId="33" xfId="0" applyFont="1" applyBorder="1" applyAlignment="1" applyProtection="1">
      <alignment horizontal="right"/>
      <protection locked="0"/>
    </xf>
    <xf numFmtId="0" fontId="25" fillId="0" borderId="34" xfId="0" applyFont="1" applyBorder="1" applyAlignment="1" applyProtection="1">
      <alignment horizontal="right"/>
      <protection locked="0"/>
    </xf>
    <xf numFmtId="16" fontId="27" fillId="0" borderId="24" xfId="0" applyNumberFormat="1" applyFont="1" applyBorder="1"/>
    <xf numFmtId="0" fontId="25" fillId="0" borderId="25" xfId="0" applyFont="1" applyBorder="1" applyAlignment="1">
      <alignment horizontal="right"/>
    </xf>
    <xf numFmtId="0" fontId="23" fillId="22" borderId="24" xfId="0" applyFont="1" applyFill="1" applyBorder="1" applyAlignment="1" applyProtection="1">
      <alignment horizontal="left" vertical="center"/>
      <protection locked="0"/>
    </xf>
    <xf numFmtId="0" fontId="25" fillId="22" borderId="0" xfId="0" applyFont="1" applyFill="1" applyAlignment="1" applyProtection="1">
      <alignment horizontal="right"/>
      <protection locked="0"/>
    </xf>
    <xf numFmtId="0" fontId="25" fillId="22" borderId="25" xfId="0" applyFont="1" applyFill="1" applyBorder="1" applyAlignment="1" applyProtection="1">
      <alignment horizontal="right"/>
      <protection locked="0"/>
    </xf>
    <xf numFmtId="0" fontId="25" fillId="11" borderId="24" xfId="0" applyFont="1" applyFill="1" applyBorder="1" applyProtection="1">
      <protection locked="0"/>
    </xf>
    <xf numFmtId="38" fontId="25" fillId="12" borderId="23" xfId="0" applyNumberFormat="1" applyFont="1" applyFill="1" applyBorder="1" applyAlignment="1" applyProtection="1">
      <alignment horizontal="right"/>
      <protection locked="0"/>
    </xf>
    <xf numFmtId="0" fontId="25" fillId="14" borderId="26" xfId="0" applyFont="1" applyFill="1" applyBorder="1" applyAlignment="1">
      <alignment horizontal="right"/>
    </xf>
    <xf numFmtId="0" fontId="25" fillId="6" borderId="24" xfId="0" applyFont="1" applyFill="1" applyBorder="1" applyProtection="1">
      <protection locked="0"/>
    </xf>
    <xf numFmtId="0" fontId="25" fillId="28" borderId="27" xfId="0" applyFont="1" applyFill="1" applyBorder="1" applyAlignment="1">
      <alignment horizontal="right"/>
    </xf>
    <xf numFmtId="0" fontId="25" fillId="14" borderId="27" xfId="0" applyFont="1" applyFill="1" applyBorder="1" applyAlignment="1">
      <alignment horizontal="right"/>
    </xf>
    <xf numFmtId="164" fontId="25" fillId="29" borderId="11" xfId="0" applyNumberFormat="1" applyFont="1" applyFill="1" applyBorder="1" applyAlignment="1" applyProtection="1">
      <alignment horizontal="right"/>
      <protection locked="0"/>
    </xf>
    <xf numFmtId="164" fontId="25" fillId="12" borderId="11" xfId="0" applyNumberFormat="1" applyFont="1" applyFill="1" applyBorder="1" applyAlignment="1" applyProtection="1">
      <alignment horizontal="right"/>
      <protection locked="0"/>
    </xf>
    <xf numFmtId="164" fontId="25" fillId="27" borderId="11" xfId="0" applyNumberFormat="1" applyFont="1" applyFill="1" applyBorder="1" applyAlignment="1" applyProtection="1">
      <alignment horizontal="right"/>
      <protection locked="0"/>
    </xf>
    <xf numFmtId="0" fontId="25" fillId="28" borderId="27" xfId="0" applyFont="1" applyFill="1" applyBorder="1" applyAlignment="1">
      <alignment horizontal="left"/>
    </xf>
    <xf numFmtId="164" fontId="25" fillId="13" borderId="11" xfId="0" applyNumberFormat="1" applyFont="1" applyFill="1" applyBorder="1" applyAlignment="1" applyProtection="1">
      <alignment horizontal="right"/>
      <protection locked="0"/>
    </xf>
    <xf numFmtId="0" fontId="28" fillId="6" borderId="24" xfId="0" applyFont="1" applyFill="1" applyBorder="1" applyProtection="1">
      <protection locked="0"/>
    </xf>
    <xf numFmtId="164" fontId="28" fillId="29" borderId="11" xfId="0" applyNumberFormat="1" applyFont="1" applyFill="1" applyBorder="1" applyAlignment="1" applyProtection="1">
      <alignment horizontal="right"/>
      <protection locked="0"/>
    </xf>
    <xf numFmtId="0" fontId="25" fillId="29" borderId="11" xfId="0" applyFont="1" applyFill="1" applyBorder="1" applyAlignment="1" applyProtection="1">
      <alignment horizontal="right"/>
      <protection locked="0"/>
    </xf>
    <xf numFmtId="0" fontId="25" fillId="0" borderId="24" xfId="0" applyFont="1" applyBorder="1" applyProtection="1">
      <protection locked="0"/>
    </xf>
    <xf numFmtId="0" fontId="25" fillId="0" borderId="25" xfId="0" applyFont="1" applyBorder="1" applyAlignment="1" applyProtection="1">
      <alignment horizontal="right"/>
      <protection locked="0"/>
    </xf>
    <xf numFmtId="0" fontId="29" fillId="23" borderId="24" xfId="0" applyFont="1" applyFill="1" applyBorder="1" applyProtection="1">
      <protection locked="0"/>
    </xf>
    <xf numFmtId="0" fontId="29" fillId="23" borderId="0" xfId="0" applyFont="1" applyFill="1" applyAlignment="1" applyProtection="1">
      <alignment horizontal="center"/>
      <protection locked="0"/>
    </xf>
    <xf numFmtId="0" fontId="29" fillId="23" borderId="25" xfId="0" applyFont="1" applyFill="1" applyBorder="1" applyAlignment="1" applyProtection="1">
      <alignment horizontal="center"/>
      <protection locked="0"/>
    </xf>
    <xf numFmtId="0" fontId="30" fillId="0" borderId="0" xfId="0" applyFont="1"/>
    <xf numFmtId="164" fontId="25" fillId="13" borderId="27" xfId="0" applyNumberFormat="1" applyFont="1" applyFill="1" applyBorder="1" applyAlignment="1" applyProtection="1">
      <alignment horizontal="right"/>
      <protection locked="0"/>
    </xf>
    <xf numFmtId="0" fontId="30" fillId="0" borderId="0" xfId="0" applyFont="1" applyAlignment="1">
      <alignment horizontal="left"/>
    </xf>
    <xf numFmtId="164" fontId="31" fillId="29" borderId="11" xfId="0" applyNumberFormat="1" applyFont="1" applyFill="1" applyBorder="1" applyAlignment="1" applyProtection="1">
      <alignment horizontal="right"/>
      <protection locked="0"/>
    </xf>
    <xf numFmtId="164" fontId="31" fillId="29" borderId="27" xfId="0" applyNumberFormat="1" applyFont="1" applyFill="1" applyBorder="1" applyAlignment="1" applyProtection="1">
      <alignment horizontal="right"/>
      <protection locked="0"/>
    </xf>
    <xf numFmtId="0" fontId="28" fillId="11" borderId="24" xfId="0" applyFont="1" applyFill="1" applyBorder="1" applyProtection="1">
      <protection locked="0"/>
    </xf>
    <xf numFmtId="164" fontId="28" fillId="13" borderId="11" xfId="0" applyNumberFormat="1" applyFont="1" applyFill="1" applyBorder="1" applyAlignment="1" applyProtection="1">
      <alignment horizontal="right"/>
      <protection locked="0"/>
    </xf>
    <xf numFmtId="164" fontId="28" fillId="13" borderId="27" xfId="0" applyNumberFormat="1" applyFont="1" applyFill="1" applyBorder="1" applyAlignment="1" applyProtection="1">
      <alignment horizontal="right"/>
      <protection locked="0"/>
    </xf>
    <xf numFmtId="164" fontId="25" fillId="29" borderId="27" xfId="0" applyNumberFormat="1" applyFont="1" applyFill="1" applyBorder="1" applyAlignment="1" applyProtection="1">
      <alignment horizontal="right"/>
      <protection locked="0"/>
    </xf>
    <xf numFmtId="9" fontId="30" fillId="0" borderId="0" xfId="0" applyNumberFormat="1" applyFont="1" applyAlignment="1">
      <alignment horizontal="left"/>
    </xf>
    <xf numFmtId="0" fontId="23" fillId="24" borderId="18" xfId="0" applyFont="1" applyFill="1" applyBorder="1" applyAlignment="1">
      <alignment horizontal="center" vertical="top" wrapText="1"/>
    </xf>
    <xf numFmtId="171" fontId="23" fillId="25" borderId="19" xfId="0" applyNumberFormat="1" applyFont="1" applyFill="1" applyBorder="1" applyAlignment="1">
      <alignment horizontal="center" wrapText="1"/>
    </xf>
    <xf numFmtId="171" fontId="23" fillId="25" borderId="20" xfId="0" applyNumberFormat="1" applyFont="1" applyFill="1" applyBorder="1" applyAlignment="1">
      <alignment horizontal="center" wrapText="1"/>
    </xf>
    <xf numFmtId="0" fontId="32" fillId="0" borderId="12" xfId="0" applyFont="1" applyBorder="1" applyAlignment="1">
      <alignment wrapText="1"/>
    </xf>
    <xf numFmtId="171" fontId="32" fillId="0" borderId="0" xfId="0" applyNumberFormat="1" applyFont="1" applyAlignment="1">
      <alignment wrapText="1"/>
    </xf>
    <xf numFmtId="171" fontId="32" fillId="0" borderId="13" xfId="0" applyNumberFormat="1" applyFont="1" applyBorder="1" applyAlignment="1">
      <alignment wrapText="1"/>
    </xf>
    <xf numFmtId="164" fontId="28" fillId="29" borderId="27" xfId="0" applyNumberFormat="1" applyFont="1" applyFill="1" applyBorder="1" applyAlignment="1" applyProtection="1">
      <alignment horizontal="right"/>
      <protection locked="0"/>
    </xf>
    <xf numFmtId="0" fontId="24" fillId="28" borderId="12" xfId="0" applyFont="1" applyFill="1" applyBorder="1" applyAlignment="1">
      <alignment wrapText="1"/>
    </xf>
    <xf numFmtId="171" fontId="24" fillId="28" borderId="0" xfId="0" applyNumberFormat="1" applyFont="1" applyFill="1" applyAlignment="1">
      <alignment wrapText="1"/>
    </xf>
    <xf numFmtId="171" fontId="24" fillId="28" borderId="13" xfId="0" applyNumberFormat="1" applyFont="1" applyFill="1" applyBorder="1" applyAlignment="1">
      <alignment wrapText="1"/>
    </xf>
    <xf numFmtId="0" fontId="25" fillId="0" borderId="12" xfId="0" applyFont="1" applyBorder="1" applyAlignment="1">
      <alignment wrapText="1"/>
    </xf>
    <xf numFmtId="171" fontId="25" fillId="0" borderId="0" xfId="0" applyNumberFormat="1" applyFont="1" applyAlignment="1">
      <alignment wrapText="1"/>
    </xf>
    <xf numFmtId="171" fontId="25" fillId="0" borderId="13" xfId="0" applyNumberFormat="1" applyFont="1" applyBorder="1" applyAlignment="1">
      <alignment wrapText="1"/>
    </xf>
    <xf numFmtId="0" fontId="25" fillId="0" borderId="0" xfId="0" applyFont="1" applyProtection="1">
      <protection locked="0"/>
    </xf>
    <xf numFmtId="0" fontId="25" fillId="5" borderId="0" xfId="0" applyFont="1" applyFill="1"/>
    <xf numFmtId="0" fontId="23" fillId="26" borderId="12" xfId="0" applyFont="1" applyFill="1" applyBorder="1" applyAlignment="1">
      <alignment wrapText="1"/>
    </xf>
    <xf numFmtId="171" fontId="23" fillId="26" borderId="0" xfId="0" applyNumberFormat="1" applyFont="1" applyFill="1" applyAlignment="1">
      <alignment wrapText="1"/>
    </xf>
    <xf numFmtId="171" fontId="23" fillId="26" borderId="13" xfId="0" applyNumberFormat="1" applyFont="1" applyFill="1" applyBorder="1" applyAlignment="1">
      <alignment wrapText="1"/>
    </xf>
    <xf numFmtId="165" fontId="25" fillId="12" borderId="11" xfId="0" applyNumberFormat="1" applyFont="1" applyFill="1" applyBorder="1" applyAlignment="1" applyProtection="1">
      <alignment horizontal="right"/>
      <protection locked="0"/>
    </xf>
    <xf numFmtId="165" fontId="25" fillId="13" borderId="27" xfId="0" applyNumberFormat="1" applyFont="1" applyFill="1" applyBorder="1" applyAlignment="1" applyProtection="1">
      <alignment horizontal="right"/>
      <protection locked="0"/>
    </xf>
    <xf numFmtId="0" fontId="23" fillId="25" borderId="12" xfId="0" applyFont="1" applyFill="1" applyBorder="1" applyAlignment="1">
      <alignment wrapText="1"/>
    </xf>
    <xf numFmtId="171" fontId="23" fillId="25" borderId="0" xfId="0" applyNumberFormat="1" applyFont="1" applyFill="1" applyAlignment="1">
      <alignment wrapText="1"/>
    </xf>
    <xf numFmtId="171" fontId="23" fillId="25" borderId="13" xfId="0" applyNumberFormat="1" applyFont="1" applyFill="1" applyBorder="1" applyAlignment="1">
      <alignment wrapText="1"/>
    </xf>
    <xf numFmtId="0" fontId="25" fillId="29" borderId="27" xfId="0" applyFont="1" applyFill="1" applyBorder="1" applyAlignment="1" applyProtection="1">
      <alignment horizontal="right"/>
      <protection locked="0"/>
    </xf>
    <xf numFmtId="0" fontId="25" fillId="13" borderId="11" xfId="0" applyFont="1" applyFill="1" applyBorder="1" applyAlignment="1" applyProtection="1">
      <alignment horizontal="right"/>
      <protection locked="0"/>
    </xf>
    <xf numFmtId="0" fontId="25" fillId="13" borderId="27" xfId="0" applyFont="1" applyFill="1" applyBorder="1" applyAlignment="1" applyProtection="1">
      <alignment horizontal="right"/>
      <protection locked="0"/>
    </xf>
    <xf numFmtId="166" fontId="25" fillId="27" borderId="11" xfId="0" applyNumberFormat="1" applyFont="1" applyFill="1" applyBorder="1" applyAlignment="1" applyProtection="1">
      <alignment horizontal="right"/>
      <protection locked="0"/>
    </xf>
    <xf numFmtId="164" fontId="25" fillId="30" borderId="27" xfId="0" applyNumberFormat="1" applyFont="1" applyFill="1" applyBorder="1" applyAlignment="1" applyProtection="1">
      <alignment horizontal="right"/>
      <protection locked="0"/>
    </xf>
    <xf numFmtId="0" fontId="25" fillId="14" borderId="11" xfId="0" applyFont="1" applyFill="1" applyBorder="1" applyAlignment="1" applyProtection="1">
      <alignment horizontal="right"/>
      <protection locked="0"/>
    </xf>
    <xf numFmtId="0" fontId="25" fillId="14" borderId="27" xfId="0" applyFont="1" applyFill="1" applyBorder="1" applyAlignment="1" applyProtection="1">
      <alignment horizontal="right"/>
      <protection locked="0"/>
    </xf>
    <xf numFmtId="0" fontId="29" fillId="23" borderId="0" xfId="0" applyFont="1" applyFill="1" applyAlignment="1" applyProtection="1">
      <alignment horizontal="right"/>
      <protection locked="0"/>
    </xf>
    <xf numFmtId="0" fontId="25" fillId="24" borderId="25" xfId="0" applyFont="1" applyFill="1" applyBorder="1" applyAlignment="1" applyProtection="1">
      <alignment horizontal="right"/>
      <protection locked="0"/>
    </xf>
    <xf numFmtId="165" fontId="28" fillId="12" borderId="11" xfId="0" applyNumberFormat="1" applyFont="1" applyFill="1" applyBorder="1" applyAlignment="1" applyProtection="1">
      <alignment horizontal="right"/>
      <protection locked="0"/>
    </xf>
    <xf numFmtId="0" fontId="24" fillId="31" borderId="12" xfId="0" applyFont="1" applyFill="1" applyBorder="1" applyAlignment="1">
      <alignment wrapText="1"/>
    </xf>
    <xf numFmtId="171" fontId="24" fillId="31" borderId="0" xfId="0" applyNumberFormat="1" applyFont="1" applyFill="1" applyAlignment="1">
      <alignment wrapText="1"/>
    </xf>
    <xf numFmtId="171" fontId="24" fillId="31" borderId="13" xfId="0" applyNumberFormat="1" applyFont="1" applyFill="1" applyBorder="1" applyAlignment="1">
      <alignment wrapText="1"/>
    </xf>
    <xf numFmtId="165" fontId="28" fillId="27" borderId="11" xfId="0" applyNumberFormat="1" applyFont="1" applyFill="1" applyBorder="1" applyAlignment="1" applyProtection="1">
      <alignment horizontal="right"/>
      <protection locked="0"/>
    </xf>
    <xf numFmtId="0" fontId="25" fillId="28" borderId="27" xfId="0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wrapText="1"/>
    </xf>
    <xf numFmtId="0" fontId="25" fillId="0" borderId="13" xfId="0" applyFont="1" applyBorder="1" applyAlignment="1">
      <alignment wrapText="1"/>
    </xf>
    <xf numFmtId="0" fontId="23" fillId="25" borderId="0" xfId="0" applyFont="1" applyFill="1" applyAlignment="1">
      <alignment wrapText="1"/>
    </xf>
    <xf numFmtId="0" fontId="23" fillId="25" borderId="13" xfId="0" applyFont="1" applyFill="1" applyBorder="1" applyAlignment="1">
      <alignment wrapText="1"/>
    </xf>
    <xf numFmtId="0" fontId="25" fillId="31" borderId="12" xfId="0" applyFont="1" applyFill="1" applyBorder="1" applyAlignment="1">
      <alignment wrapText="1"/>
    </xf>
    <xf numFmtId="10" fontId="25" fillId="31" borderId="0" xfId="0" applyNumberFormat="1" applyFont="1" applyFill="1" applyAlignment="1">
      <alignment wrapText="1"/>
    </xf>
    <xf numFmtId="10" fontId="25" fillId="31" borderId="13" xfId="0" applyNumberFormat="1" applyFont="1" applyFill="1" applyBorder="1" applyAlignment="1">
      <alignment wrapText="1"/>
    </xf>
    <xf numFmtId="0" fontId="25" fillId="14" borderId="24" xfId="0" applyFont="1" applyFill="1" applyBorder="1"/>
    <xf numFmtId="10" fontId="28" fillId="12" borderId="11" xfId="0" applyNumberFormat="1" applyFont="1" applyFill="1" applyBorder="1" applyAlignment="1">
      <alignment horizontal="right"/>
    </xf>
    <xf numFmtId="0" fontId="25" fillId="0" borderId="24" xfId="0" applyFont="1" applyBorder="1"/>
    <xf numFmtId="10" fontId="28" fillId="27" borderId="11" xfId="0" applyNumberFormat="1" applyFont="1" applyFill="1" applyBorder="1" applyAlignment="1">
      <alignment horizontal="right"/>
    </xf>
    <xf numFmtId="0" fontId="25" fillId="31" borderId="15" xfId="0" applyFont="1" applyFill="1" applyBorder="1" applyAlignment="1">
      <alignment wrapText="1"/>
    </xf>
    <xf numFmtId="10" fontId="25" fillId="31" borderId="21" xfId="0" applyNumberFormat="1" applyFont="1" applyFill="1" applyBorder="1" applyAlignment="1">
      <alignment wrapText="1"/>
    </xf>
    <xf numFmtId="10" fontId="25" fillId="31" borderId="22" xfId="0" applyNumberFormat="1" applyFont="1" applyFill="1" applyBorder="1" applyAlignment="1">
      <alignment wrapText="1"/>
    </xf>
    <xf numFmtId="10" fontId="25" fillId="12" borderId="11" xfId="0" applyNumberFormat="1" applyFont="1" applyFill="1" applyBorder="1" applyAlignment="1">
      <alignment horizontal="right"/>
    </xf>
    <xf numFmtId="0" fontId="25" fillId="0" borderId="28" xfId="0" applyFont="1" applyBorder="1"/>
    <xf numFmtId="10" fontId="25" fillId="15" borderId="16" xfId="0" applyNumberFormat="1" applyFont="1" applyFill="1" applyBorder="1" applyAlignment="1">
      <alignment horizontal="right"/>
    </xf>
    <xf numFmtId="0" fontId="25" fillId="16" borderId="29" xfId="0" applyFont="1" applyFill="1" applyBorder="1" applyAlignment="1" applyProtection="1">
      <alignment horizontal="right"/>
      <protection locked="0"/>
    </xf>
    <xf numFmtId="0" fontId="25" fillId="0" borderId="30" xfId="0" applyFont="1" applyBorder="1" applyProtection="1">
      <protection locked="0"/>
    </xf>
    <xf numFmtId="0" fontId="25" fillId="0" borderId="31" xfId="0" applyFont="1" applyBorder="1" applyAlignment="1" applyProtection="1">
      <alignment horizontal="right"/>
      <protection locked="0"/>
    </xf>
    <xf numFmtId="0" fontId="25" fillId="0" borderId="32" xfId="0" applyFont="1" applyBorder="1" applyAlignment="1" applyProtection="1">
      <alignment horizontal="right"/>
      <protection locked="0"/>
    </xf>
    <xf numFmtId="0" fontId="29" fillId="8" borderId="12" xfId="0" applyFont="1" applyFill="1" applyBorder="1" applyProtection="1">
      <protection locked="0"/>
    </xf>
    <xf numFmtId="0" fontId="29" fillId="8" borderId="0" xfId="0" applyFont="1" applyFill="1" applyAlignment="1" applyProtection="1">
      <alignment horizontal="right"/>
      <protection locked="0"/>
    </xf>
    <xf numFmtId="0" fontId="25" fillId="9" borderId="13" xfId="0" applyFont="1" applyFill="1" applyBorder="1" applyAlignment="1" applyProtection="1">
      <alignment horizontal="right"/>
      <protection locked="0"/>
    </xf>
    <xf numFmtId="0" fontId="25" fillId="11" borderId="12" xfId="0" applyFont="1" applyFill="1" applyBorder="1" applyProtection="1">
      <protection locked="0"/>
    </xf>
    <xf numFmtId="40" fontId="25" fillId="13" borderId="11" xfId="0" applyNumberFormat="1" applyFont="1" applyFill="1" applyBorder="1" applyAlignment="1" applyProtection="1">
      <alignment horizontal="right"/>
      <protection locked="0"/>
    </xf>
    <xf numFmtId="0" fontId="25" fillId="14" borderId="14" xfId="0" applyFont="1" applyFill="1" applyBorder="1" applyAlignment="1" applyProtection="1">
      <alignment horizontal="right"/>
      <protection locked="0"/>
    </xf>
    <xf numFmtId="0" fontId="25" fillId="6" borderId="12" xfId="0" applyFont="1" applyFill="1" applyBorder="1" applyProtection="1">
      <protection locked="0"/>
    </xf>
    <xf numFmtId="38" fontId="25" fillId="17" borderId="11" xfId="0" applyNumberFormat="1" applyFont="1" applyFill="1" applyBorder="1" applyAlignment="1" applyProtection="1">
      <alignment horizontal="right"/>
      <protection locked="0"/>
    </xf>
    <xf numFmtId="0" fontId="25" fillId="16" borderId="14" xfId="0" applyFont="1" applyFill="1" applyBorder="1" applyAlignment="1" applyProtection="1">
      <alignment horizontal="right"/>
      <protection locked="0"/>
    </xf>
    <xf numFmtId="38" fontId="25" fillId="13" borderId="11" xfId="0" applyNumberFormat="1" applyFont="1" applyFill="1" applyBorder="1" applyAlignment="1" applyProtection="1">
      <alignment horizontal="right"/>
      <protection locked="0"/>
    </xf>
    <xf numFmtId="165" fontId="25" fillId="17" borderId="11" xfId="0" applyNumberFormat="1" applyFont="1" applyFill="1" applyBorder="1" applyAlignment="1" applyProtection="1">
      <alignment horizontal="right"/>
      <protection locked="0"/>
    </xf>
    <xf numFmtId="165" fontId="25" fillId="13" borderId="11" xfId="0" applyNumberFormat="1" applyFont="1" applyFill="1" applyBorder="1" applyAlignment="1" applyProtection="1">
      <alignment horizontal="right"/>
      <protection locked="0"/>
    </xf>
    <xf numFmtId="0" fontId="28" fillId="6" borderId="12" xfId="0" applyFont="1" applyFill="1" applyBorder="1" applyProtection="1">
      <protection locked="0"/>
    </xf>
    <xf numFmtId="165" fontId="28" fillId="17" borderId="11" xfId="0" applyNumberFormat="1" applyFont="1" applyFill="1" applyBorder="1" applyAlignment="1" applyProtection="1">
      <alignment horizontal="right"/>
      <protection locked="0"/>
    </xf>
    <xf numFmtId="0" fontId="28" fillId="11" borderId="15" xfId="0" applyFont="1" applyFill="1" applyBorder="1" applyProtection="1">
      <protection locked="0"/>
    </xf>
    <xf numFmtId="165" fontId="28" fillId="13" borderId="16" xfId="0" applyNumberFormat="1" applyFont="1" applyFill="1" applyBorder="1" applyAlignment="1" applyProtection="1">
      <alignment horizontal="right"/>
      <protection locked="0"/>
    </xf>
    <xf numFmtId="0" fontId="25" fillId="14" borderId="17" xfId="0" applyFont="1" applyFill="1" applyBorder="1" applyAlignment="1" applyProtection="1">
      <alignment horizontal="right"/>
      <protection locked="0"/>
    </xf>
    <xf numFmtId="0" fontId="33" fillId="0" borderId="0" xfId="0" applyFont="1"/>
    <xf numFmtId="0" fontId="33" fillId="0" borderId="0" xfId="0" applyFont="1" applyAlignment="1">
      <alignment horizontal="right"/>
    </xf>
    <xf numFmtId="0" fontId="33" fillId="0" borderId="0" xfId="0" applyFont="1" applyAlignment="1" applyProtection="1">
      <alignment horizontal="right"/>
      <protection locked="0"/>
    </xf>
    <xf numFmtId="0" fontId="27" fillId="0" borderId="0" xfId="0" applyFont="1"/>
    <xf numFmtId="0" fontId="33" fillId="0" borderId="0" xfId="0" applyFont="1" applyProtection="1">
      <protection locked="0"/>
    </xf>
    <xf numFmtId="0" fontId="26" fillId="0" borderId="0" xfId="0" applyFont="1" applyAlignment="1">
      <alignment wrapText="1"/>
    </xf>
    <xf numFmtId="0" fontId="1" fillId="0" borderId="0" xfId="0" applyFont="1" applyAlignment="1" applyProtection="1">
      <alignment horizontal="right"/>
      <protection locked="0"/>
    </xf>
    <xf numFmtId="0" fontId="1" fillId="31" borderId="12" xfId="0" applyFont="1" applyFill="1" applyBorder="1" applyAlignment="1">
      <alignment wrapText="1"/>
    </xf>
    <xf numFmtId="171" fontId="1" fillId="31" borderId="0" xfId="0" applyNumberFormat="1" applyFont="1" applyFill="1" applyAlignment="1">
      <alignment wrapText="1"/>
    </xf>
    <xf numFmtId="171" fontId="1" fillId="31" borderId="13" xfId="0" applyNumberFormat="1" applyFont="1" applyFill="1" applyBorder="1" applyAlignment="1">
      <alignment wrapText="1"/>
    </xf>
    <xf numFmtId="6" fontId="34" fillId="0" borderId="0" xfId="0" applyNumberFormat="1" applyFont="1"/>
    <xf numFmtId="167" fontId="2" fillId="0" borderId="0" xfId="1"/>
  </cellXfs>
  <cellStyles count="6">
    <cellStyle name="Currency" xfId="1" builtinId="4"/>
    <cellStyle name="Excel Built-in 20% - Accent3" xfId="2" xr:uid="{00000000-0005-0000-0000-000001000000}"/>
    <cellStyle name="Excel Built-in Calculation" xfId="3" xr:uid="{00000000-0005-0000-0000-000002000000}"/>
    <cellStyle name="Excel Built-in Input" xfId="4" xr:uid="{00000000-0005-0000-0000-000003000000}"/>
    <cellStyle name="Excel Built-in Normal" xfId="5" xr:uid="{00000000-0005-0000-0000-000004000000}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F1F8FF"/>
      <rgbColor rgb="00802060"/>
      <rgbColor rgb="00FFFFC0"/>
      <rgbColor rgb="00A0E0E0"/>
      <rgbColor rgb="00600080"/>
      <rgbColor rgb="00FF8080"/>
      <rgbColor rgb="000080C0"/>
      <rgbColor rgb="00DEE8F4"/>
      <rgbColor rgb="00000080"/>
      <rgbColor rgb="00FF00FF"/>
      <rgbColor rgb="00FFCC99"/>
      <rgbColor rgb="0000FFFF"/>
      <rgbColor rgb="00800080"/>
      <rgbColor rgb="00800000"/>
      <rgbColor rgb="00008080"/>
      <rgbColor rgb="000000FF"/>
      <rgbColor rgb="0000CFFF"/>
      <rgbColor rgb="00EEEEEE"/>
      <rgbColor rgb="00EBF1DE"/>
      <rgbColor rgb="00FFFF80"/>
      <rgbColor rgb="00CCFFCC"/>
      <rgbColor rgb="00DD9CB3"/>
      <rgbColor rgb="00F2F2F2"/>
      <rgbColor rgb="00DDDDDD"/>
      <rgbColor rgb="004984D4"/>
      <rgbColor rgb="003FB8CD"/>
      <rgbColor rgb="00666666"/>
      <rgbColor rgb="00958C41"/>
      <rgbColor rgb="008E5E42"/>
      <rgbColor rgb="007F7F7F"/>
      <rgbColor rgb="00624FAC"/>
      <rgbColor rgb="00969696"/>
      <rgbColor rgb="003333FF"/>
      <rgbColor rgb="00286676"/>
      <rgbColor rgb="00004500"/>
      <rgbColor rgb="003F3F76"/>
      <rgbColor rgb="006A2813"/>
      <rgbColor rgb="00FA7D00"/>
      <rgbColor rgb="004A3285"/>
      <rgbColor rgb="00424242"/>
    </indexedColors>
    <mruColors>
      <color rgb="FFE00000"/>
      <color rgb="FF30BDCB"/>
      <color rgb="FF42CDEE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203200</xdr:rowOff>
    </xdr:from>
    <xdr:to>
      <xdr:col>14</xdr:col>
      <xdr:colOff>927100</xdr:colOff>
      <xdr:row>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7CA02A3-8C45-CC42-8B9A-CEE8243A1297}"/>
            </a:ext>
          </a:extLst>
        </xdr:cNvPr>
        <xdr:cNvSpPr/>
      </xdr:nvSpPr>
      <xdr:spPr>
        <a:xfrm>
          <a:off x="6019800" y="203200"/>
          <a:ext cx="9575800" cy="1270000"/>
        </a:xfrm>
        <a:prstGeom prst="rect">
          <a:avLst/>
        </a:prstGeom>
        <a:solidFill>
          <a:schemeClr val="accent2"/>
        </a:solidFill>
        <a:ln w="57150">
          <a:solidFill>
            <a:srgbClr val="E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 sz="1100" baseline="0">
            <a:solidFill>
              <a:schemeClr val="bg1">
                <a:lumMod val="50000"/>
              </a:schemeClr>
            </a:solidFill>
          </a:endParaRPr>
        </a:p>
        <a:p>
          <a:pPr algn="l"/>
          <a:endParaRPr lang="en-US" sz="1100"/>
        </a:p>
        <a:p>
          <a:pPr algn="l"/>
          <a:endParaRPr 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PROPERTY</a:t>
          </a:r>
          <a:r>
            <a:rPr lang="en-US" sz="1100" b="1" baseline="0"/>
            <a:t> HAS A 1 YEAR WARRANTY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50800</xdr:colOff>
      <xdr:row>0</xdr:row>
      <xdr:rowOff>241300</xdr:rowOff>
    </xdr:from>
    <xdr:to>
      <xdr:col>14</xdr:col>
      <xdr:colOff>889000</xdr:colOff>
      <xdr:row>1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7A1B699-5CF4-A44C-AC4F-BEF48CCB9E2D}"/>
            </a:ext>
          </a:extLst>
        </xdr:cNvPr>
        <xdr:cNvSpPr txBox="1"/>
      </xdr:nvSpPr>
      <xdr:spPr>
        <a:xfrm>
          <a:off x="6057900" y="241300"/>
          <a:ext cx="94996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tx1"/>
              </a:solidFill>
              <a:latin typeface="+mn-lt"/>
            </a:rPr>
            <a:t>Contact: Melissa@NoradaRealEstate.com</a:t>
          </a:r>
        </a:p>
        <a:p>
          <a:endParaRPr lang="en-US"/>
        </a:p>
        <a:p>
          <a:br>
            <a:rPr lang="en-US"/>
          </a:br>
          <a:endParaRPr lang="en-US"/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400" baseline="0">
            <a:solidFill>
              <a:schemeClr val="tx1"/>
            </a:solidFill>
            <a:latin typeface="+mn-lt"/>
          </a:endParaRPr>
        </a:p>
        <a:p>
          <a:endParaRPr lang="en-US" sz="1400" baseline="0">
            <a:solidFill>
              <a:schemeClr val="tx1"/>
            </a:solidFill>
            <a:latin typeface="+mn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>
            <a:solidFill>
              <a:schemeClr val="accent6">
                <a:lumMod val="75000"/>
              </a:schemeClr>
            </a:solidFill>
            <a:latin typeface="+mn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 u="sng">
            <a:solidFill>
              <a:schemeClr val="tx1"/>
            </a:solidFill>
            <a:latin typeface="+mn-lt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>
            <a:solidFill>
              <a:srgbClr val="30BDCB"/>
            </a:solidFill>
          </a:endParaRPr>
        </a:p>
        <a:p>
          <a:endParaRPr lang="en-US" sz="1100"/>
        </a:p>
      </xdr:txBody>
    </xdr:sp>
    <xdr:clientData/>
  </xdr:twoCellAnchor>
  <xdr:twoCellAnchor editAs="oneCell">
    <xdr:from>
      <xdr:col>1</xdr:col>
      <xdr:colOff>469900</xdr:colOff>
      <xdr:row>0</xdr:row>
      <xdr:rowOff>0</xdr:rowOff>
    </xdr:from>
    <xdr:to>
      <xdr:col>1</xdr:col>
      <xdr:colOff>2209800</xdr:colOff>
      <xdr:row>0</xdr:row>
      <xdr:rowOff>1155700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2EC513-F1B7-C24F-801D-F03E8904F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0"/>
          <a:ext cx="1739900" cy="11557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</xdr:row>
      <xdr:rowOff>50800</xdr:rowOff>
    </xdr:from>
    <xdr:to>
      <xdr:col>12</xdr:col>
      <xdr:colOff>444500</xdr:colOff>
      <xdr:row>23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A10D70-98C6-4441-9430-21FF91ADDC9B}"/>
            </a:ext>
          </a:extLst>
        </xdr:cNvPr>
        <xdr:cNvSpPr txBox="1"/>
      </xdr:nvSpPr>
      <xdr:spPr>
        <a:xfrm>
          <a:off x="6032500" y="1778000"/>
          <a:ext cx="7150100" cy="383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200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Gorgeous Colonial Hills Subdivision and Southaven Schools!</a:t>
          </a:r>
        </a:p>
        <a:p>
          <a:endParaRPr lang="en-US" sz="12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2337 Colonial Hills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Purchase Price: $144,900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Rent Range: $1095 – $1295/month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Property Type: Residential Single Family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Beds/Baths: 3 beds, 1 bath with detached garage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of Units: 1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Square Feet: 1350(est)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Occupancy Status: All work included in price, see scope of work for details.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Built: 1975(est)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Yearly Property Tax: $1200/annually(estimated)</a:t>
          </a:r>
        </a:p>
        <a:p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PROPERTY DESCRIPTION</a:t>
          </a:r>
          <a:b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Brick, all new HVAC, water tank, flooring,new bathrooms,  New dimensional roof.  </a:t>
          </a:r>
        </a:p>
        <a:p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year home warranty, 60 day bumper to bumper warranty once first tenant moves in.</a:t>
          </a:r>
          <a:endParaRPr lang="en-US" sz="1200"/>
        </a:p>
      </xdr:txBody>
    </xdr:sp>
    <xdr:clientData/>
  </xdr:twoCellAnchor>
  <xdr:twoCellAnchor editAs="oneCell">
    <xdr:from>
      <xdr:col>13</xdr:col>
      <xdr:colOff>546100</xdr:colOff>
      <xdr:row>3</xdr:row>
      <xdr:rowOff>101600</xdr:rowOff>
    </xdr:from>
    <xdr:to>
      <xdr:col>21</xdr:col>
      <xdr:colOff>203200</xdr:colOff>
      <xdr:row>19</xdr:row>
      <xdr:rowOff>153487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2B5C6-1087-1747-A1AB-9143A740F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9400" y="2095500"/>
          <a:ext cx="5626100" cy="2756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1"/>
  <sheetViews>
    <sheetView tabSelected="1" workbookViewId="0">
      <selection activeCell="H54" sqref="H54"/>
    </sheetView>
  </sheetViews>
  <sheetFormatPr baseColWidth="10" defaultColWidth="11.5" defaultRowHeight="16" x14ac:dyDescent="0.2"/>
  <cols>
    <col min="1" max="1" width="4.1640625" style="77" customWidth="1"/>
    <col min="2" max="2" width="40" style="127" customWidth="1"/>
    <col min="3" max="3" width="13.6640625" style="76" customWidth="1"/>
    <col min="4" max="4" width="14.5" style="76" customWidth="1"/>
    <col min="5" max="5" width="6.5" style="77" customWidth="1"/>
    <col min="6" max="6" width="0" style="77" hidden="1" customWidth="1"/>
    <col min="7" max="7" width="25" style="77" customWidth="1"/>
    <col min="8" max="15" width="12.6640625" style="77" customWidth="1"/>
    <col min="16" max="251" width="8.83203125" style="77" customWidth="1"/>
    <col min="252" max="16384" width="11.5" style="77"/>
  </cols>
  <sheetData>
    <row r="1" spans="2:5" ht="101" customHeight="1" thickBot="1" x14ac:dyDescent="0.25">
      <c r="B1" s="75"/>
    </row>
    <row r="2" spans="2:5" ht="35" customHeight="1" thickBot="1" x14ac:dyDescent="0.25">
      <c r="B2" s="195" t="s">
        <v>163</v>
      </c>
      <c r="C2" s="78"/>
      <c r="D2" s="79"/>
    </row>
    <row r="3" spans="2:5" ht="21" customHeight="1" x14ac:dyDescent="0.2">
      <c r="B3" s="80"/>
      <c r="D3" s="81"/>
    </row>
    <row r="4" spans="2:5" ht="26" customHeight="1" x14ac:dyDescent="0.2">
      <c r="B4" s="82" t="s">
        <v>1</v>
      </c>
      <c r="C4" s="83"/>
      <c r="D4" s="84"/>
    </row>
    <row r="5" spans="2:5" ht="14.75" customHeight="1" x14ac:dyDescent="0.2">
      <c r="B5" s="85" t="s">
        <v>19</v>
      </c>
      <c r="C5" s="86"/>
      <c r="D5" s="87"/>
    </row>
    <row r="6" spans="2:5" ht="14.75" customHeight="1" x14ac:dyDescent="0.2">
      <c r="B6" s="88" t="s">
        <v>21</v>
      </c>
      <c r="C6" s="200">
        <v>144900</v>
      </c>
      <c r="D6" s="89"/>
    </row>
    <row r="7" spans="2:5" ht="14.75" customHeight="1" x14ac:dyDescent="0.2">
      <c r="B7" s="85" t="s">
        <v>23</v>
      </c>
      <c r="C7" s="200">
        <v>144900</v>
      </c>
      <c r="D7" s="90"/>
    </row>
    <row r="8" spans="2:5" ht="14.75" customHeight="1" x14ac:dyDescent="0.2">
      <c r="B8" s="88" t="s">
        <v>25</v>
      </c>
      <c r="C8" s="91">
        <f>C7-C7*C42</f>
        <v>28980</v>
      </c>
      <c r="D8" s="89"/>
    </row>
    <row r="9" spans="2:5" ht="14.75" customHeight="1" x14ac:dyDescent="0.2">
      <c r="B9" s="85" t="s">
        <v>27</v>
      </c>
      <c r="C9" s="92">
        <v>0</v>
      </c>
      <c r="D9" s="90"/>
    </row>
    <row r="10" spans="2:5" ht="14.75" customHeight="1" x14ac:dyDescent="0.2">
      <c r="B10" s="88" t="s">
        <v>29</v>
      </c>
      <c r="C10" s="93">
        <f>C7*0.03</f>
        <v>4347</v>
      </c>
      <c r="D10" s="94" t="s">
        <v>30</v>
      </c>
    </row>
    <row r="11" spans="2:5" ht="14.75" customHeight="1" x14ac:dyDescent="0.2">
      <c r="B11" s="85" t="s">
        <v>32</v>
      </c>
      <c r="C11" s="95"/>
      <c r="D11" s="90"/>
    </row>
    <row r="12" spans="2:5" ht="14.75" customHeight="1" x14ac:dyDescent="0.2">
      <c r="B12" s="96" t="s">
        <v>34</v>
      </c>
      <c r="C12" s="97">
        <f>C10+C8</f>
        <v>33327</v>
      </c>
      <c r="D12" s="89"/>
    </row>
    <row r="13" spans="2:5" ht="14.75" hidden="1" customHeight="1" x14ac:dyDescent="0.2">
      <c r="B13" s="85" t="s">
        <v>35</v>
      </c>
      <c r="C13" s="95" t="e">
        <f>C7/C5</f>
        <v>#DIV/0!</v>
      </c>
      <c r="D13" s="90"/>
    </row>
    <row r="14" spans="2:5" ht="15.5" hidden="1" customHeight="1" x14ac:dyDescent="0.2">
      <c r="B14" s="88" t="s">
        <v>37</v>
      </c>
      <c r="C14" s="98" t="e">
        <f>C17/C5</f>
        <v>#DIV/0!</v>
      </c>
      <c r="D14" s="89"/>
    </row>
    <row r="15" spans="2:5" ht="15.5" customHeight="1" x14ac:dyDescent="0.2">
      <c r="B15" s="99"/>
      <c r="D15" s="100"/>
    </row>
    <row r="16" spans="2:5" ht="15.5" customHeight="1" x14ac:dyDescent="0.2">
      <c r="B16" s="101" t="s">
        <v>40</v>
      </c>
      <c r="C16" s="102" t="s">
        <v>41</v>
      </c>
      <c r="D16" s="103" t="s">
        <v>42</v>
      </c>
      <c r="E16" s="104"/>
    </row>
    <row r="17" spans="2:15" ht="15.5" customHeight="1" x14ac:dyDescent="0.2">
      <c r="B17" s="85" t="s">
        <v>44</v>
      </c>
      <c r="C17" s="201">
        <v>1295</v>
      </c>
      <c r="D17" s="105">
        <f>SUM(C17*12)</f>
        <v>15540</v>
      </c>
      <c r="E17" s="106"/>
    </row>
    <row r="18" spans="2:15" ht="15.5" customHeight="1" x14ac:dyDescent="0.2">
      <c r="B18" s="88" t="s">
        <v>45</v>
      </c>
      <c r="C18" s="107">
        <f>C17*-C52</f>
        <v>0</v>
      </c>
      <c r="D18" s="108">
        <f>C18*12</f>
        <v>0</v>
      </c>
      <c r="E18" s="106"/>
    </row>
    <row r="19" spans="2:15" ht="15.5" customHeight="1" x14ac:dyDescent="0.2">
      <c r="B19" s="109" t="s">
        <v>47</v>
      </c>
      <c r="C19" s="110">
        <f>C17+C18</f>
        <v>1295</v>
      </c>
      <c r="D19" s="111">
        <f>C19*12</f>
        <v>15540</v>
      </c>
      <c r="E19" s="106"/>
    </row>
    <row r="20" spans="2:15" ht="15.5" customHeight="1" x14ac:dyDescent="0.2">
      <c r="B20" s="99"/>
      <c r="C20" s="196"/>
      <c r="D20" s="100"/>
      <c r="E20" s="106"/>
    </row>
    <row r="21" spans="2:15" ht="15.5" customHeight="1" x14ac:dyDescent="0.2">
      <c r="B21" s="101" t="s">
        <v>50</v>
      </c>
      <c r="C21" s="102" t="s">
        <v>41</v>
      </c>
      <c r="D21" s="103" t="s">
        <v>42</v>
      </c>
      <c r="E21" s="106"/>
    </row>
    <row r="22" spans="2:15" ht="15.5" customHeight="1" x14ac:dyDescent="0.2">
      <c r="B22" s="85" t="s">
        <v>20</v>
      </c>
      <c r="C22" s="92">
        <f>SUM(D22/12)</f>
        <v>-100</v>
      </c>
      <c r="D22" s="105">
        <v>-1200</v>
      </c>
      <c r="E22" s="106"/>
    </row>
    <row r="23" spans="2:15" ht="15.5" customHeight="1" x14ac:dyDescent="0.2">
      <c r="B23" s="88" t="s">
        <v>22</v>
      </c>
      <c r="C23" s="93">
        <f>SUM(D23/12)</f>
        <v>-45.833333333333336</v>
      </c>
      <c r="D23" s="112">
        <v>-550</v>
      </c>
      <c r="E23" s="106"/>
    </row>
    <row r="24" spans="2:15" ht="15.5" customHeight="1" x14ac:dyDescent="0.2">
      <c r="B24" s="85" t="s">
        <v>53</v>
      </c>
      <c r="C24" s="95">
        <f>SUM(C17*-C53)</f>
        <v>-103.60000000000001</v>
      </c>
      <c r="D24" s="105">
        <v>-1640</v>
      </c>
      <c r="E24" s="113"/>
    </row>
    <row r="25" spans="2:15" ht="15.5" customHeight="1" thickBot="1" x14ac:dyDescent="0.25">
      <c r="B25" s="88" t="s">
        <v>55</v>
      </c>
      <c r="C25" s="93">
        <v>0</v>
      </c>
      <c r="D25" s="112">
        <f>C25*12</f>
        <v>0</v>
      </c>
      <c r="E25" s="106"/>
    </row>
    <row r="26" spans="2:15" ht="15.5" customHeight="1" x14ac:dyDescent="0.2">
      <c r="B26" s="85" t="s">
        <v>57</v>
      </c>
      <c r="C26" s="92">
        <v>0</v>
      </c>
      <c r="D26" s="105">
        <f>C26*12</f>
        <v>0</v>
      </c>
      <c r="E26" s="106"/>
      <c r="G26" s="114" t="s">
        <v>0</v>
      </c>
      <c r="H26" s="115" t="s">
        <v>3</v>
      </c>
      <c r="I26" s="115" t="s">
        <v>4</v>
      </c>
      <c r="J26" s="115" t="s">
        <v>5</v>
      </c>
      <c r="K26" s="115" t="s">
        <v>6</v>
      </c>
      <c r="L26" s="115" t="s">
        <v>7</v>
      </c>
      <c r="M26" s="115" t="s">
        <v>8</v>
      </c>
      <c r="N26" s="115" t="s">
        <v>9</v>
      </c>
      <c r="O26" s="116" t="s">
        <v>10</v>
      </c>
    </row>
    <row r="27" spans="2:15" ht="15.5" customHeight="1" x14ac:dyDescent="0.2">
      <c r="B27" s="88" t="s">
        <v>58</v>
      </c>
      <c r="C27" s="91">
        <f>C17*-C54</f>
        <v>0</v>
      </c>
      <c r="D27" s="112">
        <f>C27*12</f>
        <v>0</v>
      </c>
      <c r="E27" s="106"/>
      <c r="G27" s="117" t="s">
        <v>12</v>
      </c>
      <c r="H27" s="118">
        <f>D17</f>
        <v>15540</v>
      </c>
      <c r="I27" s="118">
        <f>H27*(1+$C$55)</f>
        <v>16006.2</v>
      </c>
      <c r="J27" s="118">
        <f>I27*(1+$C$55)</f>
        <v>16486.386000000002</v>
      </c>
      <c r="K27" s="118">
        <f>J27*(1+$C$55)</f>
        <v>16980.977580000002</v>
      </c>
      <c r="L27" s="118">
        <f>K27*(1+$C$55)</f>
        <v>17490.406907400004</v>
      </c>
      <c r="M27" s="118">
        <f>L27*((1+$C$55)^5)</f>
        <v>20276.175276706461</v>
      </c>
      <c r="N27" s="118">
        <f>M27*((1+$C$55)^10)</f>
        <v>27249.484064818145</v>
      </c>
      <c r="O27" s="119">
        <f>N27*((1+$C$55)^10)</f>
        <v>36621.027963385743</v>
      </c>
    </row>
    <row r="28" spans="2:15" ht="15.5" customHeight="1" x14ac:dyDescent="0.2">
      <c r="B28" s="85" t="s">
        <v>31</v>
      </c>
      <c r="C28" s="92"/>
      <c r="D28" s="105">
        <f>C28*12</f>
        <v>0</v>
      </c>
      <c r="E28" s="106"/>
      <c r="G28" s="117" t="s">
        <v>14</v>
      </c>
      <c r="H28" s="118">
        <f>-D18</f>
        <v>0</v>
      </c>
      <c r="I28" s="118">
        <f t="shared" ref="I28:O28" si="0">I27*$C$52</f>
        <v>0</v>
      </c>
      <c r="J28" s="118">
        <f t="shared" si="0"/>
        <v>0</v>
      </c>
      <c r="K28" s="118">
        <f t="shared" si="0"/>
        <v>0</v>
      </c>
      <c r="L28" s="118">
        <f t="shared" si="0"/>
        <v>0</v>
      </c>
      <c r="M28" s="118">
        <f t="shared" si="0"/>
        <v>0</v>
      </c>
      <c r="N28" s="118">
        <f t="shared" si="0"/>
        <v>0</v>
      </c>
      <c r="O28" s="119">
        <f t="shared" si="0"/>
        <v>0</v>
      </c>
    </row>
    <row r="29" spans="2:15" ht="15.5" customHeight="1" x14ac:dyDescent="0.2">
      <c r="B29" s="96" t="s">
        <v>61</v>
      </c>
      <c r="C29" s="97">
        <f>SUM(C22:C28)</f>
        <v>-249.43333333333334</v>
      </c>
      <c r="D29" s="120">
        <f>SUM(D22:D28)</f>
        <v>-3390</v>
      </c>
      <c r="E29" s="106"/>
      <c r="G29" s="121" t="s">
        <v>16</v>
      </c>
      <c r="H29" s="122">
        <f t="shared" ref="H29:O29" si="1">H27-H28</f>
        <v>15540</v>
      </c>
      <c r="I29" s="122">
        <f t="shared" si="1"/>
        <v>16006.2</v>
      </c>
      <c r="J29" s="122">
        <f t="shared" si="1"/>
        <v>16486.386000000002</v>
      </c>
      <c r="K29" s="122">
        <f t="shared" si="1"/>
        <v>16980.977580000002</v>
      </c>
      <c r="L29" s="122">
        <f t="shared" si="1"/>
        <v>17490.406907400004</v>
      </c>
      <c r="M29" s="122">
        <f t="shared" si="1"/>
        <v>20276.175276706461</v>
      </c>
      <c r="N29" s="122">
        <f t="shared" si="1"/>
        <v>27249.484064818145</v>
      </c>
      <c r="O29" s="123">
        <f t="shared" si="1"/>
        <v>36621.027963385743</v>
      </c>
    </row>
    <row r="30" spans="2:15" ht="15.5" customHeight="1" x14ac:dyDescent="0.2">
      <c r="B30" s="99"/>
      <c r="D30" s="100"/>
      <c r="E30" s="104"/>
      <c r="G30" s="124" t="s">
        <v>18</v>
      </c>
      <c r="H30" s="125" t="s">
        <v>18</v>
      </c>
      <c r="I30" s="125" t="s">
        <v>18</v>
      </c>
      <c r="J30" s="125" t="s">
        <v>18</v>
      </c>
      <c r="K30" s="125" t="s">
        <v>18</v>
      </c>
      <c r="L30" s="125" t="s">
        <v>18</v>
      </c>
      <c r="M30" s="125" t="s">
        <v>18</v>
      </c>
      <c r="N30" s="125" t="s">
        <v>18</v>
      </c>
      <c r="O30" s="126" t="s">
        <v>18</v>
      </c>
    </row>
    <row r="31" spans="2:15" ht="17" x14ac:dyDescent="0.2">
      <c r="B31" s="101" t="s">
        <v>64</v>
      </c>
      <c r="C31" s="102" t="s">
        <v>41</v>
      </c>
      <c r="D31" s="103" t="s">
        <v>42</v>
      </c>
      <c r="E31" s="104"/>
      <c r="G31" s="117" t="s">
        <v>20</v>
      </c>
      <c r="H31" s="118">
        <f>-D22</f>
        <v>1200</v>
      </c>
      <c r="I31" s="118">
        <f t="shared" ref="I31:L36" si="2">H31*(1+$C$55)</f>
        <v>1236</v>
      </c>
      <c r="J31" s="118">
        <f t="shared" si="2"/>
        <v>1273.08</v>
      </c>
      <c r="K31" s="118">
        <f t="shared" si="2"/>
        <v>1311.2724000000001</v>
      </c>
      <c r="L31" s="118">
        <f t="shared" si="2"/>
        <v>1350.610572</v>
      </c>
      <c r="M31" s="118">
        <f t="shared" ref="M31:M36" si="3">L31*((1+$C$55)^5)</f>
        <v>1565.7278205950934</v>
      </c>
      <c r="N31" s="118">
        <f t="shared" ref="N31:O36" si="4">M31*((1+$C$55)^10)</f>
        <v>2104.2072636925204</v>
      </c>
      <c r="O31" s="119">
        <f t="shared" si="4"/>
        <v>2827.8786072112539</v>
      </c>
    </row>
    <row r="32" spans="2:15" ht="17" x14ac:dyDescent="0.2">
      <c r="B32" s="109" t="s">
        <v>66</v>
      </c>
      <c r="C32" s="110">
        <f>C19+C29</f>
        <v>1045.5666666666666</v>
      </c>
      <c r="D32" s="111">
        <f>D19+D29</f>
        <v>12150</v>
      </c>
      <c r="G32" s="117" t="s">
        <v>22</v>
      </c>
      <c r="H32" s="118">
        <f>-D23</f>
        <v>550</v>
      </c>
      <c r="I32" s="118">
        <f t="shared" si="2"/>
        <v>566.5</v>
      </c>
      <c r="J32" s="118">
        <f t="shared" si="2"/>
        <v>583.495</v>
      </c>
      <c r="K32" s="118">
        <f t="shared" si="2"/>
        <v>600.99985000000004</v>
      </c>
      <c r="L32" s="118">
        <f t="shared" si="2"/>
        <v>619.02984550000008</v>
      </c>
      <c r="M32" s="118">
        <f t="shared" si="3"/>
        <v>717.62525110608453</v>
      </c>
      <c r="N32" s="118">
        <f t="shared" si="4"/>
        <v>964.42832919240539</v>
      </c>
      <c r="O32" s="119">
        <f t="shared" si="4"/>
        <v>1296.1110283051582</v>
      </c>
    </row>
    <row r="33" spans="2:15" ht="17" x14ac:dyDescent="0.2">
      <c r="B33" s="88" t="s">
        <v>67</v>
      </c>
      <c r="C33" s="91">
        <f>C44</f>
        <v>-479.39572008846164</v>
      </c>
      <c r="D33" s="112">
        <f>C33*12</f>
        <v>-5752.7486410615402</v>
      </c>
      <c r="G33" s="117" t="s">
        <v>24</v>
      </c>
      <c r="H33" s="118">
        <f>-D26</f>
        <v>0</v>
      </c>
      <c r="I33" s="118">
        <f t="shared" si="2"/>
        <v>0</v>
      </c>
      <c r="J33" s="118">
        <f t="shared" si="2"/>
        <v>0</v>
      </c>
      <c r="K33" s="118">
        <f t="shared" si="2"/>
        <v>0</v>
      </c>
      <c r="L33" s="118">
        <f t="shared" si="2"/>
        <v>0</v>
      </c>
      <c r="M33" s="118">
        <f t="shared" si="3"/>
        <v>0</v>
      </c>
      <c r="N33" s="118">
        <f t="shared" si="4"/>
        <v>0</v>
      </c>
      <c r="O33" s="119">
        <f t="shared" si="4"/>
        <v>0</v>
      </c>
    </row>
    <row r="34" spans="2:15" ht="17" x14ac:dyDescent="0.2">
      <c r="B34" s="109" t="s">
        <v>68</v>
      </c>
      <c r="C34" s="110">
        <f>C32+C33</f>
        <v>566.17094657820496</v>
      </c>
      <c r="D34" s="111">
        <f>D32+D33</f>
        <v>6397.2513589384598</v>
      </c>
      <c r="G34" s="117" t="s">
        <v>26</v>
      </c>
      <c r="H34" s="118">
        <f>-D27</f>
        <v>0</v>
      </c>
      <c r="I34" s="118">
        <f t="shared" si="2"/>
        <v>0</v>
      </c>
      <c r="J34" s="118">
        <f t="shared" si="2"/>
        <v>0</v>
      </c>
      <c r="K34" s="118">
        <f t="shared" si="2"/>
        <v>0</v>
      </c>
      <c r="L34" s="118">
        <f t="shared" si="2"/>
        <v>0</v>
      </c>
      <c r="M34" s="118">
        <f t="shared" si="3"/>
        <v>0</v>
      </c>
      <c r="N34" s="118">
        <f t="shared" si="4"/>
        <v>0</v>
      </c>
      <c r="O34" s="119">
        <f t="shared" si="4"/>
        <v>0</v>
      </c>
    </row>
    <row r="35" spans="2:15" ht="17" x14ac:dyDescent="0.2">
      <c r="B35" s="88" t="s">
        <v>69</v>
      </c>
      <c r="C35" s="91">
        <f>-0.266*C33</f>
        <v>127.5192615435308</v>
      </c>
      <c r="D35" s="112">
        <f>C35*12</f>
        <v>1530.2311385223697</v>
      </c>
      <c r="G35" s="117" t="s">
        <v>28</v>
      </c>
      <c r="H35" s="118">
        <f>-D24</f>
        <v>1640</v>
      </c>
      <c r="I35" s="118">
        <f t="shared" si="2"/>
        <v>1689.2</v>
      </c>
      <c r="J35" s="118">
        <f t="shared" si="2"/>
        <v>1739.8760000000002</v>
      </c>
      <c r="K35" s="118">
        <f t="shared" si="2"/>
        <v>1792.0722800000003</v>
      </c>
      <c r="L35" s="118">
        <f t="shared" si="2"/>
        <v>1845.8344484000004</v>
      </c>
      <c r="M35" s="118">
        <f t="shared" si="3"/>
        <v>2139.8280214799611</v>
      </c>
      <c r="N35" s="118">
        <f t="shared" si="4"/>
        <v>2875.749927046445</v>
      </c>
      <c r="O35" s="119">
        <f t="shared" si="4"/>
        <v>3864.7674298553807</v>
      </c>
    </row>
    <row r="36" spans="2:15" ht="17" x14ac:dyDescent="0.2">
      <c r="B36" s="85" t="s">
        <v>70</v>
      </c>
      <c r="C36" s="95">
        <f>C6*C51/12</f>
        <v>603.75</v>
      </c>
      <c r="D36" s="105">
        <f>C36*12</f>
        <v>7245</v>
      </c>
      <c r="G36" s="117" t="s">
        <v>31</v>
      </c>
      <c r="H36" s="118">
        <f>-D28</f>
        <v>0</v>
      </c>
      <c r="I36" s="118">
        <f t="shared" si="2"/>
        <v>0</v>
      </c>
      <c r="J36" s="118">
        <f t="shared" si="2"/>
        <v>0</v>
      </c>
      <c r="K36" s="118">
        <f t="shared" si="2"/>
        <v>0</v>
      </c>
      <c r="L36" s="118">
        <f t="shared" si="2"/>
        <v>0</v>
      </c>
      <c r="M36" s="118">
        <f t="shared" si="3"/>
        <v>0</v>
      </c>
      <c r="N36" s="118">
        <f t="shared" si="4"/>
        <v>0</v>
      </c>
      <c r="O36" s="119">
        <f t="shared" si="4"/>
        <v>0</v>
      </c>
    </row>
    <row r="37" spans="2:15" ht="17" x14ac:dyDescent="0.2">
      <c r="B37" s="96" t="s">
        <v>71</v>
      </c>
      <c r="C37" s="97">
        <f>C36+C35+C34</f>
        <v>1297.4402081217358</v>
      </c>
      <c r="D37" s="120">
        <f>C37*12</f>
        <v>15569.28249746083</v>
      </c>
      <c r="G37" s="117" t="s">
        <v>33</v>
      </c>
      <c r="H37" s="118">
        <f t="shared" ref="H37:O37" si="5">SUM(H31:H36)</f>
        <v>3390</v>
      </c>
      <c r="I37" s="118">
        <f t="shared" si="5"/>
        <v>3491.7</v>
      </c>
      <c r="J37" s="118">
        <f t="shared" si="5"/>
        <v>3596.451</v>
      </c>
      <c r="K37" s="118">
        <f t="shared" si="5"/>
        <v>3704.3445300000003</v>
      </c>
      <c r="L37" s="118">
        <f t="shared" si="5"/>
        <v>3815.4748659000006</v>
      </c>
      <c r="M37" s="118">
        <f t="shared" si="5"/>
        <v>4423.1810931811397</v>
      </c>
      <c r="N37" s="118">
        <f t="shared" si="5"/>
        <v>5944.3855199313712</v>
      </c>
      <c r="O37" s="119">
        <f t="shared" si="5"/>
        <v>7988.7570653717921</v>
      </c>
    </row>
    <row r="38" spans="2:15" ht="17" x14ac:dyDescent="0.2">
      <c r="B38" s="85" t="s">
        <v>72</v>
      </c>
      <c r="C38" s="95">
        <f>F38/27.5*0.25/12</f>
        <v>87.818181818181813</v>
      </c>
      <c r="D38" s="105">
        <f>C38*12</f>
        <v>1053.8181818181818</v>
      </c>
      <c r="E38" s="127"/>
      <c r="F38" s="128">
        <f>C6*0.8</f>
        <v>115920</v>
      </c>
      <c r="G38" s="124" t="s">
        <v>18</v>
      </c>
      <c r="H38" s="125" t="s">
        <v>18</v>
      </c>
      <c r="I38" s="125" t="s">
        <v>18</v>
      </c>
      <c r="J38" s="125" t="s">
        <v>18</v>
      </c>
      <c r="K38" s="125" t="s">
        <v>18</v>
      </c>
      <c r="L38" s="125" t="s">
        <v>18</v>
      </c>
      <c r="M38" s="125" t="s">
        <v>18</v>
      </c>
      <c r="N38" s="125" t="s">
        <v>18</v>
      </c>
      <c r="O38" s="126" t="s">
        <v>18</v>
      </c>
    </row>
    <row r="39" spans="2:15" ht="17" x14ac:dyDescent="0.2">
      <c r="B39" s="96" t="s">
        <v>73</v>
      </c>
      <c r="C39" s="97">
        <f>C38+C37</f>
        <v>1385.2583899399176</v>
      </c>
      <c r="D39" s="120">
        <f>C39*12</f>
        <v>16623.10067927901</v>
      </c>
      <c r="G39" s="121" t="s">
        <v>36</v>
      </c>
      <c r="H39" s="122">
        <f t="shared" ref="H39:O39" si="6">H29-H37</f>
        <v>12150</v>
      </c>
      <c r="I39" s="122">
        <f t="shared" si="6"/>
        <v>12514.5</v>
      </c>
      <c r="J39" s="122">
        <f t="shared" si="6"/>
        <v>12889.935000000001</v>
      </c>
      <c r="K39" s="122">
        <f t="shared" si="6"/>
        <v>13276.633050000002</v>
      </c>
      <c r="L39" s="122">
        <f t="shared" si="6"/>
        <v>13674.932041500004</v>
      </c>
      <c r="M39" s="122">
        <f t="shared" si="6"/>
        <v>15852.994183525321</v>
      </c>
      <c r="N39" s="122">
        <f t="shared" si="6"/>
        <v>21305.098544886772</v>
      </c>
      <c r="O39" s="123">
        <f t="shared" si="6"/>
        <v>28632.270898013951</v>
      </c>
    </row>
    <row r="40" spans="2:15" ht="17" x14ac:dyDescent="0.2">
      <c r="B40" s="99"/>
      <c r="D40" s="100"/>
      <c r="G40" s="117" t="s">
        <v>38</v>
      </c>
      <c r="H40" s="118">
        <f>-D33</f>
        <v>5752.7486410615402</v>
      </c>
      <c r="I40" s="118">
        <f t="shared" ref="I40:O40" si="7">H40</f>
        <v>5752.7486410615402</v>
      </c>
      <c r="J40" s="118">
        <f t="shared" si="7"/>
        <v>5752.7486410615402</v>
      </c>
      <c r="K40" s="118">
        <f t="shared" si="7"/>
        <v>5752.7486410615402</v>
      </c>
      <c r="L40" s="118">
        <f t="shared" si="7"/>
        <v>5752.7486410615402</v>
      </c>
      <c r="M40" s="118">
        <f t="shared" si="7"/>
        <v>5752.7486410615402</v>
      </c>
      <c r="N40" s="118">
        <f t="shared" si="7"/>
        <v>5752.7486410615402</v>
      </c>
      <c r="O40" s="119">
        <f t="shared" si="7"/>
        <v>5752.7486410615402</v>
      </c>
    </row>
    <row r="41" spans="2:15" ht="17" x14ac:dyDescent="0.2">
      <c r="B41" s="101" t="s">
        <v>74</v>
      </c>
      <c r="C41" s="102" t="s">
        <v>75</v>
      </c>
      <c r="D41" s="103" t="s">
        <v>76</v>
      </c>
      <c r="G41" s="129" t="s">
        <v>39</v>
      </c>
      <c r="H41" s="130">
        <f t="shared" ref="H41:O41" si="8">H39-H40</f>
        <v>6397.2513589384598</v>
      </c>
      <c r="I41" s="130">
        <f t="shared" si="8"/>
        <v>6761.7513589384598</v>
      </c>
      <c r="J41" s="130">
        <f t="shared" si="8"/>
        <v>7137.1863589384611</v>
      </c>
      <c r="K41" s="130">
        <f t="shared" si="8"/>
        <v>7523.884408938462</v>
      </c>
      <c r="L41" s="130">
        <f t="shared" si="8"/>
        <v>7922.1834004384637</v>
      </c>
      <c r="M41" s="130">
        <f t="shared" si="8"/>
        <v>10100.245542463781</v>
      </c>
      <c r="N41" s="130">
        <f t="shared" si="8"/>
        <v>15552.349903825232</v>
      </c>
      <c r="O41" s="131">
        <f t="shared" si="8"/>
        <v>22879.522256952412</v>
      </c>
    </row>
    <row r="42" spans="2:15" ht="17" x14ac:dyDescent="0.2">
      <c r="B42" s="85" t="s">
        <v>77</v>
      </c>
      <c r="C42" s="132">
        <v>0.8</v>
      </c>
      <c r="D42" s="133">
        <v>0</v>
      </c>
      <c r="G42" s="197" t="s">
        <v>43</v>
      </c>
      <c r="H42" s="198">
        <f t="shared" ref="H42:O42" si="9">H41/12</f>
        <v>533.10427991153836</v>
      </c>
      <c r="I42" s="198">
        <f t="shared" si="9"/>
        <v>563.47927991153836</v>
      </c>
      <c r="J42" s="198">
        <f t="shared" si="9"/>
        <v>594.76552991153847</v>
      </c>
      <c r="K42" s="198">
        <f t="shared" si="9"/>
        <v>626.9903674115385</v>
      </c>
      <c r="L42" s="198">
        <f t="shared" si="9"/>
        <v>660.18195003653864</v>
      </c>
      <c r="M42" s="198">
        <f t="shared" si="9"/>
        <v>841.68712853864838</v>
      </c>
      <c r="N42" s="198">
        <f t="shared" si="9"/>
        <v>1296.0291586521028</v>
      </c>
      <c r="O42" s="199">
        <f t="shared" si="9"/>
        <v>1906.6268547460343</v>
      </c>
    </row>
    <row r="43" spans="2:15" ht="17" x14ac:dyDescent="0.2">
      <c r="B43" s="88" t="s">
        <v>78</v>
      </c>
      <c r="C43" s="91">
        <f>C7*C42</f>
        <v>115920</v>
      </c>
      <c r="D43" s="112">
        <v>0</v>
      </c>
      <c r="G43" s="124" t="s">
        <v>18</v>
      </c>
      <c r="H43" s="125" t="s">
        <v>18</v>
      </c>
      <c r="I43" s="125" t="s">
        <v>18</v>
      </c>
      <c r="J43" s="125" t="s">
        <v>18</v>
      </c>
      <c r="K43" s="125" t="s">
        <v>18</v>
      </c>
      <c r="L43" s="125" t="s">
        <v>18</v>
      </c>
      <c r="M43" s="125" t="s">
        <v>18</v>
      </c>
      <c r="N43" s="125" t="s">
        <v>18</v>
      </c>
      <c r="O43" s="126" t="s">
        <v>18</v>
      </c>
    </row>
    <row r="44" spans="2:15" ht="17" x14ac:dyDescent="0.2">
      <c r="B44" s="85" t="s">
        <v>79</v>
      </c>
      <c r="C44" s="95">
        <f>-'Loan Amortization Schedule'!F18</f>
        <v>-479.39572008846164</v>
      </c>
      <c r="D44" s="105">
        <v>0</v>
      </c>
      <c r="G44" s="134" t="s">
        <v>46</v>
      </c>
      <c r="H44" s="135" t="s">
        <v>3</v>
      </c>
      <c r="I44" s="135" t="s">
        <v>4</v>
      </c>
      <c r="J44" s="135" t="s">
        <v>5</v>
      </c>
      <c r="K44" s="135" t="s">
        <v>6</v>
      </c>
      <c r="L44" s="135" t="s">
        <v>7</v>
      </c>
      <c r="M44" s="135" t="s">
        <v>8</v>
      </c>
      <c r="N44" s="135" t="s">
        <v>9</v>
      </c>
      <c r="O44" s="136" t="s">
        <v>10</v>
      </c>
    </row>
    <row r="45" spans="2:15" ht="17" x14ac:dyDescent="0.2">
      <c r="B45" s="88" t="s">
        <v>80</v>
      </c>
      <c r="C45" s="98" t="s">
        <v>81</v>
      </c>
      <c r="D45" s="137"/>
      <c r="G45" s="117" t="s">
        <v>48</v>
      </c>
      <c r="H45" s="118">
        <f>F38/27.5</f>
        <v>4215.272727272727</v>
      </c>
      <c r="I45" s="118">
        <f t="shared" ref="I45:O45" si="10">H45</f>
        <v>4215.272727272727</v>
      </c>
      <c r="J45" s="118">
        <f t="shared" si="10"/>
        <v>4215.272727272727</v>
      </c>
      <c r="K45" s="118">
        <f t="shared" si="10"/>
        <v>4215.272727272727</v>
      </c>
      <c r="L45" s="118">
        <f t="shared" si="10"/>
        <v>4215.272727272727</v>
      </c>
      <c r="M45" s="118">
        <f t="shared" si="10"/>
        <v>4215.272727272727</v>
      </c>
      <c r="N45" s="118">
        <f t="shared" si="10"/>
        <v>4215.272727272727</v>
      </c>
      <c r="O45" s="119">
        <f t="shared" si="10"/>
        <v>4215.272727272727</v>
      </c>
    </row>
    <row r="46" spans="2:15" ht="17" x14ac:dyDescent="0.2">
      <c r="B46" s="85" t="s">
        <v>82</v>
      </c>
      <c r="C46" s="138" t="s">
        <v>83</v>
      </c>
      <c r="D46" s="139"/>
      <c r="G46" s="117" t="s">
        <v>49</v>
      </c>
      <c r="H46" s="118">
        <f>'Loan Amortization Schedule'!J29</f>
        <v>3271.4749472504459</v>
      </c>
      <c r="I46" s="118">
        <f>'Loan Amortization Schedule'!K41</f>
        <v>3199.827563201678</v>
      </c>
      <c r="J46" s="118">
        <f>'Loan Amortization Schedule'!K53</f>
        <v>3126.1113434360632</v>
      </c>
      <c r="K46" s="118">
        <f>'Loan Amortization Schedule'!K65</f>
        <v>3050.2665498168863</v>
      </c>
      <c r="L46" s="118">
        <f>'Loan Amortization Schedule'!K77</f>
        <v>2972.231719254145</v>
      </c>
      <c r="M46" s="118">
        <f>'Loan Amortization Schedule'!K137</f>
        <v>2546.92865922493</v>
      </c>
      <c r="N46" s="118">
        <f>'Loan Amortization Schedule'!K257</f>
        <v>1491.2111880936718</v>
      </c>
      <c r="O46" s="119">
        <f>'Loan Amortization Schedule'!K377</f>
        <v>87.83246799443441</v>
      </c>
    </row>
    <row r="47" spans="2:15" ht="17" x14ac:dyDescent="0.2">
      <c r="B47" s="88" t="s">
        <v>84</v>
      </c>
      <c r="C47" s="140">
        <v>2.8500000000000001E-2</v>
      </c>
      <c r="D47" s="141">
        <v>0</v>
      </c>
      <c r="G47" s="124" t="s">
        <v>18</v>
      </c>
      <c r="H47" s="125" t="s">
        <v>18</v>
      </c>
      <c r="I47" s="125" t="s">
        <v>18</v>
      </c>
      <c r="J47" s="125" t="s">
        <v>18</v>
      </c>
      <c r="K47" s="125" t="s">
        <v>18</v>
      </c>
      <c r="L47" s="125" t="s">
        <v>18</v>
      </c>
      <c r="M47" s="125" t="s">
        <v>18</v>
      </c>
      <c r="N47" s="125" t="s">
        <v>18</v>
      </c>
      <c r="O47" s="126" t="s">
        <v>18</v>
      </c>
    </row>
    <row r="48" spans="2:15" ht="17" x14ac:dyDescent="0.2">
      <c r="B48" s="85" t="s">
        <v>85</v>
      </c>
      <c r="C48" s="142"/>
      <c r="D48" s="143"/>
      <c r="E48" s="127"/>
      <c r="G48" s="134" t="s">
        <v>51</v>
      </c>
      <c r="H48" s="135" t="s">
        <v>3</v>
      </c>
      <c r="I48" s="135" t="s">
        <v>4</v>
      </c>
      <c r="J48" s="135" t="s">
        <v>5</v>
      </c>
      <c r="K48" s="135" t="s">
        <v>6</v>
      </c>
      <c r="L48" s="135" t="s">
        <v>7</v>
      </c>
      <c r="M48" s="135" t="s">
        <v>8</v>
      </c>
      <c r="N48" s="135" t="s">
        <v>9</v>
      </c>
      <c r="O48" s="136" t="s">
        <v>10</v>
      </c>
    </row>
    <row r="49" spans="2:15" ht="17" x14ac:dyDescent="0.2">
      <c r="B49" s="99"/>
      <c r="D49" s="100"/>
      <c r="G49" s="117" t="s">
        <v>52</v>
      </c>
      <c r="H49" s="118">
        <f>C6*(1+$C$56)</f>
        <v>152145</v>
      </c>
      <c r="I49" s="118">
        <f>H49*(1+$C$56)</f>
        <v>159752.25</v>
      </c>
      <c r="J49" s="118">
        <f>I49*(1+$C$56)</f>
        <v>167739.86250000002</v>
      </c>
      <c r="K49" s="118">
        <f>J49*(1+$C$56)</f>
        <v>176126.85562500003</v>
      </c>
      <c r="L49" s="118">
        <f>K49*(1+$C$56)</f>
        <v>184933.19840625004</v>
      </c>
      <c r="M49" s="118">
        <f>L49*((1+$C$56)^5)</f>
        <v>236026.83142005134</v>
      </c>
      <c r="N49" s="118">
        <f>M49*((1+$C$56)^10)</f>
        <v>384462.83747542667</v>
      </c>
      <c r="O49" s="119">
        <f>N49*((1+$C$56)^10)</f>
        <v>626249.45015933132</v>
      </c>
    </row>
    <row r="50" spans="2:15" ht="17" x14ac:dyDescent="0.2">
      <c r="B50" s="101" t="s">
        <v>94</v>
      </c>
      <c r="C50" s="144"/>
      <c r="D50" s="145"/>
      <c r="G50" s="117" t="s">
        <v>54</v>
      </c>
      <c r="H50" s="118">
        <f>'Loan Amortization Schedule'!I29</f>
        <v>113438.72630618891</v>
      </c>
      <c r="I50" s="118">
        <f>'Loan Amortization Schedule'!I41</f>
        <v>110885.80522832906</v>
      </c>
      <c r="J50" s="118">
        <f>'Loan Amortization Schedule'!I53</f>
        <v>108259.16793070358</v>
      </c>
      <c r="K50" s="118">
        <f>'Loan Amortization Schedule'!I65</f>
        <v>105556.68583945892</v>
      </c>
      <c r="L50" s="118">
        <f>'Loan Amortization Schedule'!I77</f>
        <v>102776.16891765149</v>
      </c>
      <c r="M50" s="118">
        <f>'Loan Amortization Schedule'!I137</f>
        <v>87621.880162491463</v>
      </c>
      <c r="N50" s="118">
        <f>'Loan Amortization Schedule'!J257</f>
        <v>49139.800803821774</v>
      </c>
      <c r="O50" s="119">
        <v>0</v>
      </c>
    </row>
    <row r="51" spans="2:15" ht="17" x14ac:dyDescent="0.2">
      <c r="B51" s="85" t="s">
        <v>95</v>
      </c>
      <c r="C51" s="146">
        <v>0.05</v>
      </c>
      <c r="D51" s="143"/>
      <c r="G51" s="147" t="s">
        <v>56</v>
      </c>
      <c r="H51" s="148">
        <f t="shared" ref="H51:O51" si="11">H49-H50</f>
        <v>38706.27369381109</v>
      </c>
      <c r="I51" s="148">
        <f t="shared" si="11"/>
        <v>48866.44477167094</v>
      </c>
      <c r="J51" s="148">
        <f t="shared" si="11"/>
        <v>59480.694569296436</v>
      </c>
      <c r="K51" s="148">
        <f t="shared" si="11"/>
        <v>70570.169785541104</v>
      </c>
      <c r="L51" s="148">
        <f t="shared" si="11"/>
        <v>82157.02948859855</v>
      </c>
      <c r="M51" s="148">
        <f t="shared" si="11"/>
        <v>148404.95125755988</v>
      </c>
      <c r="N51" s="148">
        <f t="shared" si="11"/>
        <v>335323.0366716049</v>
      </c>
      <c r="O51" s="149">
        <f t="shared" si="11"/>
        <v>626249.45015933132</v>
      </c>
    </row>
    <row r="52" spans="2:15" ht="17" x14ac:dyDescent="0.2">
      <c r="B52" s="88" t="s">
        <v>96</v>
      </c>
      <c r="C52" s="150">
        <v>0</v>
      </c>
      <c r="D52" s="151"/>
      <c r="G52" s="124" t="s">
        <v>18</v>
      </c>
      <c r="H52" s="152" t="s">
        <v>18</v>
      </c>
      <c r="I52" s="152"/>
      <c r="J52" s="152"/>
      <c r="K52" s="152"/>
      <c r="L52" s="152"/>
      <c r="M52" s="152" t="s">
        <v>18</v>
      </c>
      <c r="N52" s="152" t="s">
        <v>18</v>
      </c>
      <c r="O52" s="153" t="s">
        <v>18</v>
      </c>
    </row>
    <row r="53" spans="2:15" ht="17" x14ac:dyDescent="0.2">
      <c r="B53" s="85" t="s">
        <v>97</v>
      </c>
      <c r="C53" s="146">
        <v>0.08</v>
      </c>
      <c r="D53" s="143"/>
      <c r="G53" s="134" t="s">
        <v>59</v>
      </c>
      <c r="H53" s="154" t="s">
        <v>3</v>
      </c>
      <c r="I53" s="154" t="s">
        <v>4</v>
      </c>
      <c r="J53" s="154" t="s">
        <v>5</v>
      </c>
      <c r="K53" s="154" t="s">
        <v>6</v>
      </c>
      <c r="L53" s="154" t="s">
        <v>7</v>
      </c>
      <c r="M53" s="154" t="s">
        <v>8</v>
      </c>
      <c r="N53" s="154" t="s">
        <v>9</v>
      </c>
      <c r="O53" s="155" t="s">
        <v>10</v>
      </c>
    </row>
    <row r="54" spans="2:15" ht="17" x14ac:dyDescent="0.2">
      <c r="B54" s="88" t="s">
        <v>98</v>
      </c>
      <c r="C54" s="150">
        <v>0</v>
      </c>
      <c r="D54" s="151"/>
      <c r="G54" s="156" t="s">
        <v>60</v>
      </c>
      <c r="H54" s="157">
        <f t="shared" ref="H54:O54" si="12">H39/$C$7</f>
        <v>8.3850931677018639E-2</v>
      </c>
      <c r="I54" s="157">
        <f t="shared" si="12"/>
        <v>8.6366459627329195E-2</v>
      </c>
      <c r="J54" s="157">
        <f t="shared" si="12"/>
        <v>8.8957453416149079E-2</v>
      </c>
      <c r="K54" s="157">
        <f t="shared" si="12"/>
        <v>9.1626177018633556E-2</v>
      </c>
      <c r="L54" s="157">
        <f t="shared" si="12"/>
        <v>9.4374962329192569E-2</v>
      </c>
      <c r="M54" s="157">
        <f t="shared" si="12"/>
        <v>0.10940644709127206</v>
      </c>
      <c r="N54" s="157">
        <f t="shared" si="12"/>
        <v>0.14703311625180657</v>
      </c>
      <c r="O54" s="158">
        <f t="shared" si="12"/>
        <v>0.19760021323681126</v>
      </c>
    </row>
    <row r="55" spans="2:15" ht="17" x14ac:dyDescent="0.2">
      <c r="B55" s="159" t="s">
        <v>11</v>
      </c>
      <c r="C55" s="160">
        <v>0.03</v>
      </c>
      <c r="D55" s="143"/>
      <c r="G55" s="156" t="s">
        <v>62</v>
      </c>
      <c r="H55" s="157">
        <f t="shared" ref="H55:O55" si="13">H41/$C$12</f>
        <v>0.19195401203043957</v>
      </c>
      <c r="I55" s="157">
        <f t="shared" si="13"/>
        <v>0.20289109007526809</v>
      </c>
      <c r="J55" s="157">
        <f t="shared" si="13"/>
        <v>0.2141562804614415</v>
      </c>
      <c r="K55" s="157">
        <f t="shared" si="13"/>
        <v>0.22575942655920012</v>
      </c>
      <c r="L55" s="157">
        <f t="shared" si="13"/>
        <v>0.23771066703989149</v>
      </c>
      <c r="M55" s="157">
        <f t="shared" si="13"/>
        <v>0.30306494861415012</v>
      </c>
      <c r="N55" s="157">
        <f t="shared" si="13"/>
        <v>0.46665916235560451</v>
      </c>
      <c r="O55" s="158">
        <f t="shared" si="13"/>
        <v>0.68651610576866839</v>
      </c>
    </row>
    <row r="56" spans="2:15" ht="18" thickBot="1" x14ac:dyDescent="0.25">
      <c r="B56" s="161" t="s">
        <v>13</v>
      </c>
      <c r="C56" s="162">
        <v>0.05</v>
      </c>
      <c r="D56" s="151"/>
      <c r="G56" s="163" t="s">
        <v>63</v>
      </c>
      <c r="H56" s="164">
        <f t="shared" ref="H56:O56" si="14">(H41+H45*$C$58+H46*$C$58+H51-$C$12)/$C$12</f>
        <v>0.41626352211768347</v>
      </c>
      <c r="I56" s="164">
        <f t="shared" si="14"/>
        <v>0.73146170408204259</v>
      </c>
      <c r="J56" s="164">
        <f t="shared" si="14"/>
        <v>1.0605955671987686</v>
      </c>
      <c r="K56" s="164">
        <f t="shared" si="14"/>
        <v>1.4043089744670885</v>
      </c>
      <c r="L56" s="164">
        <f t="shared" si="14"/>
        <v>1.7632764465467798</v>
      </c>
      <c r="M56" s="164">
        <f t="shared" si="14"/>
        <v>3.8128728414871729</v>
      </c>
      <c r="N56" s="164">
        <f t="shared" si="14"/>
        <v>9.5762055412048106</v>
      </c>
      <c r="O56" s="165">
        <f t="shared" si="14"/>
        <v>18.513722863472818</v>
      </c>
    </row>
    <row r="57" spans="2:15" hidden="1" x14ac:dyDescent="0.2">
      <c r="B57" s="159" t="s">
        <v>15</v>
      </c>
      <c r="C57" s="166">
        <v>0.05</v>
      </c>
      <c r="D57" s="143"/>
    </row>
    <row r="58" spans="2:15" ht="17" hidden="1" thickBot="1" x14ac:dyDescent="0.25">
      <c r="B58" s="167" t="s">
        <v>17</v>
      </c>
      <c r="C58" s="168">
        <v>0.28000000000000003</v>
      </c>
      <c r="D58" s="169"/>
    </row>
    <row r="59" spans="2:15" ht="17" thickBot="1" x14ac:dyDescent="0.25">
      <c r="B59" s="170"/>
      <c r="C59" s="171"/>
      <c r="D59" s="172"/>
    </row>
    <row r="60" spans="2:15" hidden="1" x14ac:dyDescent="0.2">
      <c r="B60" s="173" t="s">
        <v>86</v>
      </c>
      <c r="C60" s="174"/>
      <c r="D60" s="175"/>
    </row>
    <row r="61" spans="2:15" hidden="1" x14ac:dyDescent="0.2">
      <c r="B61" s="176" t="s">
        <v>87</v>
      </c>
      <c r="C61" s="177">
        <f>-C32/C33</f>
        <v>2.1810095978197945</v>
      </c>
      <c r="D61" s="178"/>
    </row>
    <row r="62" spans="2:15" hidden="1" x14ac:dyDescent="0.2">
      <c r="B62" s="179" t="s">
        <v>88</v>
      </c>
      <c r="C62" s="180">
        <f>C6/C17/12</f>
        <v>9.3243243243243246</v>
      </c>
      <c r="D62" s="181"/>
    </row>
    <row r="63" spans="2:15" hidden="1" x14ac:dyDescent="0.2">
      <c r="B63" s="176" t="s">
        <v>89</v>
      </c>
      <c r="C63" s="182">
        <f>C6/C17</f>
        <v>111.89189189189189</v>
      </c>
      <c r="D63" s="178"/>
    </row>
    <row r="64" spans="2:15" hidden="1" x14ac:dyDescent="0.2">
      <c r="B64" s="179" t="s">
        <v>90</v>
      </c>
      <c r="C64" s="183">
        <f>D32/C6</f>
        <v>8.3850931677018639E-2</v>
      </c>
      <c r="D64" s="181"/>
    </row>
    <row r="65" spans="2:7" hidden="1" x14ac:dyDescent="0.2">
      <c r="B65" s="176" t="s">
        <v>91</v>
      </c>
      <c r="C65" s="184">
        <f>D34/C12</f>
        <v>0.19195401203043957</v>
      </c>
      <c r="D65" s="178"/>
    </row>
    <row r="66" spans="2:7" hidden="1" x14ac:dyDescent="0.2">
      <c r="B66" s="185" t="s">
        <v>92</v>
      </c>
      <c r="C66" s="186">
        <f>D37/C12</f>
        <v>0.46716723669879767</v>
      </c>
      <c r="D66" s="181"/>
    </row>
    <row r="67" spans="2:7" ht="17" hidden="1" thickBot="1" x14ac:dyDescent="0.25">
      <c r="B67" s="187" t="s">
        <v>93</v>
      </c>
      <c r="C67" s="188">
        <f>D39/C12</f>
        <v>0.4987877900584814</v>
      </c>
      <c r="D67" s="189"/>
    </row>
    <row r="68" spans="2:7" x14ac:dyDescent="0.2">
      <c r="B68" s="190" t="s">
        <v>159</v>
      </c>
      <c r="C68" s="191"/>
      <c r="D68" s="192"/>
    </row>
    <row r="69" spans="2:7" x14ac:dyDescent="0.2">
      <c r="B69" s="190" t="s">
        <v>162</v>
      </c>
      <c r="C69" s="191"/>
      <c r="D69" s="192"/>
      <c r="G69" s="193"/>
    </row>
    <row r="70" spans="2:7" x14ac:dyDescent="0.2">
      <c r="B70" s="194" t="s">
        <v>160</v>
      </c>
      <c r="C70" s="192"/>
      <c r="D70" s="192"/>
      <c r="G70" s="193"/>
    </row>
    <row r="71" spans="2:7" x14ac:dyDescent="0.2">
      <c r="B71" s="194" t="s">
        <v>161</v>
      </c>
      <c r="C71" s="192"/>
      <c r="D71" s="192"/>
      <c r="G71" s="193"/>
    </row>
    <row r="72" spans="2:7" x14ac:dyDescent="0.2">
      <c r="G72" s="193"/>
    </row>
    <row r="73" spans="2:7" x14ac:dyDescent="0.2">
      <c r="G73" s="193"/>
    </row>
    <row r="74" spans="2:7" x14ac:dyDescent="0.2">
      <c r="G74" s="193"/>
    </row>
    <row r="75" spans="2:7" x14ac:dyDescent="0.2">
      <c r="G75" s="193"/>
    </row>
    <row r="76" spans="2:7" x14ac:dyDescent="0.2">
      <c r="G76" s="193"/>
    </row>
    <row r="77" spans="2:7" x14ac:dyDescent="0.2">
      <c r="G77" s="193"/>
    </row>
    <row r="78" spans="2:7" x14ac:dyDescent="0.2">
      <c r="G78" s="193"/>
    </row>
    <row r="79" spans="2:7" x14ac:dyDescent="0.2">
      <c r="G79" s="193"/>
    </row>
    <row r="80" spans="2:7" x14ac:dyDescent="0.2">
      <c r="G80" s="193"/>
    </row>
    <row r="81" spans="7:7" x14ac:dyDescent="0.2">
      <c r="G81" s="193"/>
    </row>
    <row r="82" spans="7:7" x14ac:dyDescent="0.2">
      <c r="G82" s="193"/>
    </row>
    <row r="83" spans="7:7" x14ac:dyDescent="0.2">
      <c r="G83" s="193"/>
    </row>
    <row r="85" spans="7:7" x14ac:dyDescent="0.2">
      <c r="G85" s="193"/>
    </row>
    <row r="86" spans="7:7" x14ac:dyDescent="0.2">
      <c r="G86" s="193"/>
    </row>
    <row r="87" spans="7:7" x14ac:dyDescent="0.2">
      <c r="G87" s="193"/>
    </row>
    <row r="88" spans="7:7" x14ac:dyDescent="0.2">
      <c r="G88" s="193"/>
    </row>
    <row r="89" spans="7:7" x14ac:dyDescent="0.2">
      <c r="G89" s="193"/>
    </row>
    <row r="90" spans="7:7" x14ac:dyDescent="0.2">
      <c r="G90" s="193"/>
    </row>
    <row r="91" spans="7:7" x14ac:dyDescent="0.2">
      <c r="G91" s="193"/>
    </row>
  </sheetData>
  <printOptions gridLines="1"/>
  <pageMargins left="0.75" right="0.75" top="1" bottom="1.1666666666666667" header="0.51180555555555551" footer="1"/>
  <pageSetup scale="67" firstPageNumber="0" orientation="portrait" horizontalDpi="300" verticalDpi="300"/>
  <headerFooter alignWithMargins="0">
    <oddFooter>&amp;C&amp;"Times New Roman,Regular"&amp;12Proforma model by Investment Property Specialist Michael Ristau, 949-478-4212, Michael@MichaelRistau.com</oddFooter>
  </headerFooter>
  <colBreaks count="1" manualBreakCount="1">
    <brk id="6" max="1048575" man="1"/>
  </colBreak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G70"/>
  <sheetViews>
    <sheetView topLeftCell="A98" workbookViewId="0">
      <selection activeCell="E3" sqref="E3"/>
    </sheetView>
  </sheetViews>
  <sheetFormatPr baseColWidth="10" defaultColWidth="11.5" defaultRowHeight="14" x14ac:dyDescent="0.2"/>
  <cols>
    <col min="1" max="1" width="7.1640625" style="1" customWidth="1"/>
    <col min="2" max="2" width="23.1640625" style="1" customWidth="1"/>
    <col min="3" max="16384" width="11.5" style="1"/>
  </cols>
  <sheetData>
    <row r="3" spans="1:33" ht="40" x14ac:dyDescent="0.2">
      <c r="B3" s="74" t="s">
        <v>0</v>
      </c>
    </row>
    <row r="4" spans="1:33" s="69" customFormat="1" ht="16.25" customHeight="1" x14ac:dyDescent="0.2">
      <c r="A4" s="61"/>
      <c r="B4" s="70" t="s">
        <v>2</v>
      </c>
      <c r="C4" s="70" t="s">
        <v>3</v>
      </c>
      <c r="D4" s="70" t="s">
        <v>4</v>
      </c>
      <c r="E4" s="70" t="s">
        <v>5</v>
      </c>
      <c r="F4" s="70" t="s">
        <v>6</v>
      </c>
      <c r="G4" s="70" t="s">
        <v>7</v>
      </c>
      <c r="H4" s="70" t="s">
        <v>99</v>
      </c>
      <c r="I4" s="70" t="s">
        <v>100</v>
      </c>
      <c r="J4" s="70" t="s">
        <v>101</v>
      </c>
      <c r="K4" s="70" t="s">
        <v>102</v>
      </c>
      <c r="L4" s="70" t="s">
        <v>8</v>
      </c>
      <c r="M4" s="70" t="s">
        <v>103</v>
      </c>
      <c r="N4" s="70" t="s">
        <v>104</v>
      </c>
      <c r="O4" s="70" t="s">
        <v>105</v>
      </c>
      <c r="P4" s="70" t="s">
        <v>106</v>
      </c>
      <c r="Q4" s="70" t="s">
        <v>107</v>
      </c>
      <c r="R4" s="70" t="s">
        <v>108</v>
      </c>
      <c r="S4" s="70" t="s">
        <v>109</v>
      </c>
      <c r="T4" s="70" t="s">
        <v>110</v>
      </c>
      <c r="U4" s="70" t="s">
        <v>111</v>
      </c>
      <c r="V4" s="70" t="s">
        <v>9</v>
      </c>
      <c r="W4" s="70" t="s">
        <v>112</v>
      </c>
      <c r="X4" s="70" t="s">
        <v>113</v>
      </c>
      <c r="Y4" s="70" t="s">
        <v>114</v>
      </c>
      <c r="Z4" s="70" t="s">
        <v>115</v>
      </c>
      <c r="AA4" s="70" t="s">
        <v>116</v>
      </c>
      <c r="AB4" s="70" t="s">
        <v>117</v>
      </c>
      <c r="AC4" s="70" t="s">
        <v>118</v>
      </c>
      <c r="AD4" s="70" t="s">
        <v>119</v>
      </c>
      <c r="AE4" s="70" t="s">
        <v>120</v>
      </c>
      <c r="AF4" s="70" t="s">
        <v>10</v>
      </c>
      <c r="AG4" s="71"/>
    </row>
    <row r="5" spans="1:33" ht="16.25" customHeight="1" x14ac:dyDescent="0.2">
      <c r="B5" s="2" t="s">
        <v>12</v>
      </c>
      <c r="C5" s="2">
        <f>'1 Year Proforma + 30 year'!H27</f>
        <v>15540</v>
      </c>
      <c r="D5" s="2">
        <f>C5*(1+'1 Year Proforma + 30 year'!$C$55)</f>
        <v>16006.2</v>
      </c>
      <c r="E5" s="2">
        <f>D5*(1+'1 Year Proforma + 30 year'!$C$55)</f>
        <v>16486.386000000002</v>
      </c>
      <c r="F5" s="2">
        <f>E5*(1+'1 Year Proforma + 30 year'!$C$55)</f>
        <v>16980.977580000002</v>
      </c>
      <c r="G5" s="2">
        <f>F5*(1+'1 Year Proforma + 30 year'!$C$55)</f>
        <v>17490.406907400004</v>
      </c>
      <c r="H5" s="2">
        <f>G5*(1+'1 Year Proforma + 30 year'!$C$55)</f>
        <v>18015.119114622004</v>
      </c>
      <c r="I5" s="2">
        <f>H5*(1+'1 Year Proforma + 30 year'!$C$55)</f>
        <v>18555.572688060663</v>
      </c>
      <c r="J5" s="2">
        <f>I5*(1+'1 Year Proforma + 30 year'!$C$55)</f>
        <v>19112.239868702483</v>
      </c>
      <c r="K5" s="2">
        <f>J5*(1+'1 Year Proforma + 30 year'!$C$55)</f>
        <v>19685.607064763557</v>
      </c>
      <c r="L5" s="2">
        <f>K5*(1+'1 Year Proforma + 30 year'!$C$55)</f>
        <v>20276.175276706465</v>
      </c>
      <c r="M5" s="2">
        <f>L5*(1+'1 Year Proforma + 30 year'!$C$55)</f>
        <v>20884.46053500766</v>
      </c>
      <c r="N5" s="2">
        <f>M5*(1+'1 Year Proforma + 30 year'!$C$55)</f>
        <v>21510.994351057889</v>
      </c>
      <c r="O5" s="2">
        <f>N5*(1+'1 Year Proforma + 30 year'!$C$55)</f>
        <v>22156.324181589625</v>
      </c>
      <c r="P5" s="2">
        <f>O5*(1+'1 Year Proforma + 30 year'!$C$55)</f>
        <v>22821.013907037315</v>
      </c>
      <c r="Q5" s="2">
        <f>P5*(1+'1 Year Proforma + 30 year'!$C$55)</f>
        <v>23505.644324248435</v>
      </c>
      <c r="R5" s="2">
        <f>Q5*(1+'1 Year Proforma + 30 year'!$C$55)</f>
        <v>24210.813653975889</v>
      </c>
      <c r="S5" s="2">
        <f>R5*(1+'1 Year Proforma + 30 year'!$C$55)</f>
        <v>24937.138063595165</v>
      </c>
      <c r="T5" s="2">
        <f>S5*(1+'1 Year Proforma + 30 year'!$C$55)</f>
        <v>25685.25220550302</v>
      </c>
      <c r="U5" s="2">
        <f>T5*(1+'1 Year Proforma + 30 year'!$C$55)</f>
        <v>26455.809771668111</v>
      </c>
      <c r="V5" s="2">
        <f>U5*(1+'1 Year Proforma + 30 year'!$C$55)</f>
        <v>27249.484064818156</v>
      </c>
      <c r="W5" s="2">
        <f>V5*(1+'1 Year Proforma + 30 year'!$C$55)</f>
        <v>28066.968586762701</v>
      </c>
      <c r="X5" s="2">
        <f>W5*(1+'1 Year Proforma + 30 year'!$C$55)</f>
        <v>28908.977644365583</v>
      </c>
      <c r="Y5" s="2">
        <f>X5*(1+'1 Year Proforma + 30 year'!$C$55)</f>
        <v>29776.24697369655</v>
      </c>
      <c r="Z5" s="2">
        <f>Y5*(1+'1 Year Proforma + 30 year'!$C$55)</f>
        <v>30669.534382907448</v>
      </c>
      <c r="AA5" s="2">
        <f>Z5*(1+'1 Year Proforma + 30 year'!$C$55)</f>
        <v>31589.620414394671</v>
      </c>
      <c r="AB5" s="2">
        <f>AA5*(1+'1 Year Proforma + 30 year'!$C$55)</f>
        <v>32537.309026826511</v>
      </c>
      <c r="AC5" s="2">
        <f>AB5*(1+'1 Year Proforma + 30 year'!$C$55)</f>
        <v>33513.428297631304</v>
      </c>
      <c r="AD5" s="2">
        <f>AC5*(1+'1 Year Proforma + 30 year'!$C$55)</f>
        <v>34518.831146560246</v>
      </c>
      <c r="AE5" s="2">
        <f>AD5*(1+'1 Year Proforma + 30 year'!$C$55)</f>
        <v>35554.396080957056</v>
      </c>
      <c r="AF5" s="2">
        <f>AE5*(1+'1 Year Proforma + 30 year'!$C$55)</f>
        <v>36621.027963385772</v>
      </c>
      <c r="AG5" s="2"/>
    </row>
    <row r="6" spans="1:33" ht="16.25" customHeight="1" x14ac:dyDescent="0.2">
      <c r="B6" s="2" t="s">
        <v>14</v>
      </c>
      <c r="C6" s="2">
        <f>'1 Year Proforma + 30 year'!H28</f>
        <v>0</v>
      </c>
      <c r="D6" s="2">
        <f>C6*(1+'1 Year Proforma + 30 year'!$C$55)</f>
        <v>0</v>
      </c>
      <c r="E6" s="2">
        <f>D6*(1+'1 Year Proforma + 30 year'!$C$55)</f>
        <v>0</v>
      </c>
      <c r="F6" s="2">
        <f>E6*(1+'1 Year Proforma + 30 year'!$C$55)</f>
        <v>0</v>
      </c>
      <c r="G6" s="2">
        <f>F6*(1+'1 Year Proforma + 30 year'!$C$55)</f>
        <v>0</v>
      </c>
      <c r="H6" s="2">
        <f>G6*(1+'1 Year Proforma + 30 year'!$C$55)</f>
        <v>0</v>
      </c>
      <c r="I6" s="2">
        <f>H6*(1+'1 Year Proforma + 30 year'!$C$55)</f>
        <v>0</v>
      </c>
      <c r="J6" s="2">
        <f>I6*(1+'1 Year Proforma + 30 year'!$C$55)</f>
        <v>0</v>
      </c>
      <c r="K6" s="2">
        <f>J6*(1+'1 Year Proforma + 30 year'!$C$55)</f>
        <v>0</v>
      </c>
      <c r="L6" s="2">
        <f>K6*(1+'1 Year Proforma + 30 year'!$C$55)</f>
        <v>0</v>
      </c>
      <c r="M6" s="2">
        <f>L6*(1+'1 Year Proforma + 30 year'!$C$55)</f>
        <v>0</v>
      </c>
      <c r="N6" s="2">
        <f>M6*(1+'1 Year Proforma + 30 year'!$C$55)</f>
        <v>0</v>
      </c>
      <c r="O6" s="2">
        <f>N6*(1+'1 Year Proforma + 30 year'!$C$55)</f>
        <v>0</v>
      </c>
      <c r="P6" s="2">
        <f>O6*(1+'1 Year Proforma + 30 year'!$C$55)</f>
        <v>0</v>
      </c>
      <c r="Q6" s="2">
        <f>P6*(1+'1 Year Proforma + 30 year'!$C$55)</f>
        <v>0</v>
      </c>
      <c r="R6" s="2">
        <f>Q6*(1+'1 Year Proforma + 30 year'!$C$55)</f>
        <v>0</v>
      </c>
      <c r="S6" s="2">
        <f>R6*(1+'1 Year Proforma + 30 year'!$C$55)</f>
        <v>0</v>
      </c>
      <c r="T6" s="2">
        <f>S6*(1+'1 Year Proforma + 30 year'!$C$55)</f>
        <v>0</v>
      </c>
      <c r="U6" s="2">
        <f>T6*(1+'1 Year Proforma + 30 year'!$C$55)</f>
        <v>0</v>
      </c>
      <c r="V6" s="2">
        <f>U6*(1+'1 Year Proforma + 30 year'!$C$55)</f>
        <v>0</v>
      </c>
      <c r="W6" s="2">
        <f>V6*(1+'1 Year Proforma + 30 year'!$C$55)</f>
        <v>0</v>
      </c>
      <c r="X6" s="2">
        <f>W6*(1+'1 Year Proforma + 30 year'!$C$55)</f>
        <v>0</v>
      </c>
      <c r="Y6" s="2">
        <f>X6*(1+'1 Year Proforma + 30 year'!$C$55)</f>
        <v>0</v>
      </c>
      <c r="Z6" s="2">
        <f>Y6*(1+'1 Year Proforma + 30 year'!$C$55)</f>
        <v>0</v>
      </c>
      <c r="AA6" s="2">
        <f>Z6*(1+'1 Year Proforma + 30 year'!$C$55)</f>
        <v>0</v>
      </c>
      <c r="AB6" s="2">
        <f>AA6*(1+'1 Year Proforma + 30 year'!$C$55)</f>
        <v>0</v>
      </c>
      <c r="AC6" s="2">
        <f>AB6*(1+'1 Year Proforma + 30 year'!$C$55)</f>
        <v>0</v>
      </c>
      <c r="AD6" s="2">
        <f>AC6*(1+'1 Year Proforma + 30 year'!$C$55)</f>
        <v>0</v>
      </c>
      <c r="AE6" s="2">
        <f>AD6*(1+'1 Year Proforma + 30 year'!$C$55)</f>
        <v>0</v>
      </c>
      <c r="AF6" s="2">
        <f>AE6*(1+'1 Year Proforma + 30 year'!$C$55)</f>
        <v>0</v>
      </c>
      <c r="AG6" s="2"/>
    </row>
    <row r="7" spans="1:33" ht="16.25" customHeight="1" x14ac:dyDescent="0.2">
      <c r="B7" s="3" t="s">
        <v>16</v>
      </c>
      <c r="C7" s="3">
        <f t="shared" ref="C7:AF7" si="0">C5-C6</f>
        <v>15540</v>
      </c>
      <c r="D7" s="3">
        <f t="shared" si="0"/>
        <v>16006.2</v>
      </c>
      <c r="E7" s="3">
        <f t="shared" si="0"/>
        <v>16486.386000000002</v>
      </c>
      <c r="F7" s="3">
        <f t="shared" si="0"/>
        <v>16980.977580000002</v>
      </c>
      <c r="G7" s="3">
        <f t="shared" si="0"/>
        <v>17490.406907400004</v>
      </c>
      <c r="H7" s="3">
        <f t="shared" si="0"/>
        <v>18015.119114622004</v>
      </c>
      <c r="I7" s="3">
        <f t="shared" si="0"/>
        <v>18555.572688060663</v>
      </c>
      <c r="J7" s="3">
        <f t="shared" si="0"/>
        <v>19112.239868702483</v>
      </c>
      <c r="K7" s="3">
        <f t="shared" si="0"/>
        <v>19685.607064763557</v>
      </c>
      <c r="L7" s="3">
        <f t="shared" si="0"/>
        <v>20276.175276706465</v>
      </c>
      <c r="M7" s="3">
        <f t="shared" si="0"/>
        <v>20884.46053500766</v>
      </c>
      <c r="N7" s="3">
        <f t="shared" si="0"/>
        <v>21510.994351057889</v>
      </c>
      <c r="O7" s="3">
        <f t="shared" si="0"/>
        <v>22156.324181589625</v>
      </c>
      <c r="P7" s="3">
        <f t="shared" si="0"/>
        <v>22821.013907037315</v>
      </c>
      <c r="Q7" s="3">
        <f t="shared" si="0"/>
        <v>23505.644324248435</v>
      </c>
      <c r="R7" s="3">
        <f t="shared" si="0"/>
        <v>24210.813653975889</v>
      </c>
      <c r="S7" s="3">
        <f t="shared" si="0"/>
        <v>24937.138063595165</v>
      </c>
      <c r="T7" s="3">
        <f t="shared" si="0"/>
        <v>25685.25220550302</v>
      </c>
      <c r="U7" s="3">
        <f t="shared" si="0"/>
        <v>26455.809771668111</v>
      </c>
      <c r="V7" s="3">
        <f t="shared" si="0"/>
        <v>27249.484064818156</v>
      </c>
      <c r="W7" s="3">
        <f t="shared" si="0"/>
        <v>28066.968586762701</v>
      </c>
      <c r="X7" s="3">
        <f t="shared" si="0"/>
        <v>28908.977644365583</v>
      </c>
      <c r="Y7" s="3">
        <f t="shared" si="0"/>
        <v>29776.24697369655</v>
      </c>
      <c r="Z7" s="3">
        <f t="shared" si="0"/>
        <v>30669.534382907448</v>
      </c>
      <c r="AA7" s="3">
        <f t="shared" si="0"/>
        <v>31589.620414394671</v>
      </c>
      <c r="AB7" s="3">
        <f t="shared" si="0"/>
        <v>32537.309026826511</v>
      </c>
      <c r="AC7" s="3">
        <f t="shared" si="0"/>
        <v>33513.428297631304</v>
      </c>
      <c r="AD7" s="3">
        <f t="shared" si="0"/>
        <v>34518.831146560246</v>
      </c>
      <c r="AE7" s="3">
        <f t="shared" si="0"/>
        <v>35554.396080957056</v>
      </c>
      <c r="AF7" s="3">
        <f t="shared" si="0"/>
        <v>36621.027963385772</v>
      </c>
      <c r="AG7" s="3"/>
    </row>
    <row r="8" spans="1:33" ht="16.25" customHeight="1" x14ac:dyDescent="0.2">
      <c r="B8" s="4" t="s">
        <v>18</v>
      </c>
      <c r="C8" s="4" t="s">
        <v>18</v>
      </c>
      <c r="D8" s="4" t="s">
        <v>18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18</v>
      </c>
      <c r="K8" s="4" t="s">
        <v>18</v>
      </c>
      <c r="L8" s="4" t="s">
        <v>18</v>
      </c>
      <c r="M8" s="4" t="s">
        <v>18</v>
      </c>
      <c r="N8" s="4" t="s">
        <v>18</v>
      </c>
      <c r="O8" s="4" t="s">
        <v>18</v>
      </c>
      <c r="P8" s="4" t="s">
        <v>18</v>
      </c>
      <c r="Q8" s="4" t="s">
        <v>18</v>
      </c>
      <c r="R8" s="4" t="s">
        <v>18</v>
      </c>
      <c r="S8" s="4" t="s">
        <v>18</v>
      </c>
      <c r="T8" s="4" t="s">
        <v>18</v>
      </c>
      <c r="U8" s="4" t="s">
        <v>18</v>
      </c>
      <c r="V8" s="4" t="s">
        <v>18</v>
      </c>
      <c r="W8" s="4" t="s">
        <v>18</v>
      </c>
      <c r="X8" s="4" t="s">
        <v>18</v>
      </c>
      <c r="Y8" s="4" t="s">
        <v>18</v>
      </c>
      <c r="Z8" s="4" t="s">
        <v>18</v>
      </c>
      <c r="AA8" s="4" t="s">
        <v>18</v>
      </c>
      <c r="AB8" s="4" t="s">
        <v>18</v>
      </c>
      <c r="AC8" s="4" t="s">
        <v>18</v>
      </c>
      <c r="AD8" s="4" t="s">
        <v>18</v>
      </c>
      <c r="AE8" s="4" t="s">
        <v>18</v>
      </c>
      <c r="AF8" s="4" t="s">
        <v>18</v>
      </c>
      <c r="AG8" s="4"/>
    </row>
    <row r="9" spans="1:33" ht="16.25" customHeight="1" x14ac:dyDescent="0.2">
      <c r="B9" s="2" t="s">
        <v>20</v>
      </c>
      <c r="C9" s="2">
        <f>'1 Year Proforma + 30 year'!H31</f>
        <v>1200</v>
      </c>
      <c r="D9" s="2">
        <f>C9*(1+'1 Year Proforma + 30 year'!$C$55)</f>
        <v>1236</v>
      </c>
      <c r="E9" s="2">
        <f>D9*(1+'1 Year Proforma + 30 year'!$C$55)</f>
        <v>1273.08</v>
      </c>
      <c r="F9" s="2">
        <f>E9*(1+'1 Year Proforma + 30 year'!$C$55)</f>
        <v>1311.2724000000001</v>
      </c>
      <c r="G9" s="2">
        <f>F9*(1+'1 Year Proforma + 30 year'!$C$55)</f>
        <v>1350.610572</v>
      </c>
      <c r="H9" s="2">
        <f>G9*(1+'1 Year Proforma + 30 year'!$C$55)</f>
        <v>1391.12888916</v>
      </c>
      <c r="I9" s="2">
        <f>H9*(1+'1 Year Proforma + 30 year'!$C$55)</f>
        <v>1432.8627558348001</v>
      </c>
      <c r="J9" s="2">
        <f>I9*(1+'1 Year Proforma + 30 year'!$C$55)</f>
        <v>1475.848638509844</v>
      </c>
      <c r="K9" s="2">
        <f>J9*(1+'1 Year Proforma + 30 year'!$C$55)</f>
        <v>1520.1240976651393</v>
      </c>
      <c r="L9" s="2">
        <f>K9*(1+'1 Year Proforma + 30 year'!$C$55)</f>
        <v>1565.7278205950936</v>
      </c>
      <c r="M9" s="2">
        <f>L9*(1+'1 Year Proforma + 30 year'!$C$55)</f>
        <v>1612.6996552129465</v>
      </c>
      <c r="N9" s="2">
        <f>M9*(1+'1 Year Proforma + 30 year'!$C$55)</f>
        <v>1661.0806448693349</v>
      </c>
      <c r="O9" s="2">
        <f>N9*(1+'1 Year Proforma + 30 year'!$C$55)</f>
        <v>1710.913064215415</v>
      </c>
      <c r="P9" s="2">
        <f>O9*(1+'1 Year Proforma + 30 year'!$C$55)</f>
        <v>1762.2404561418775</v>
      </c>
      <c r="Q9" s="2">
        <f>P9*(1+'1 Year Proforma + 30 year'!$C$55)</f>
        <v>1815.1076698261338</v>
      </c>
      <c r="R9" s="2">
        <f>Q9*(1+'1 Year Proforma + 30 year'!$C$55)</f>
        <v>1869.5608999209178</v>
      </c>
      <c r="S9" s="2">
        <f>R9*(1+'1 Year Proforma + 30 year'!$C$55)</f>
        <v>1925.6477269185455</v>
      </c>
      <c r="T9" s="2">
        <f>S9*(1+'1 Year Proforma + 30 year'!$C$55)</f>
        <v>1983.4171587261019</v>
      </c>
      <c r="U9" s="2">
        <f>T9*(1+'1 Year Proforma + 30 year'!$C$55)</f>
        <v>2042.9196734878849</v>
      </c>
      <c r="V9" s="2">
        <f>U9*(1+'1 Year Proforma + 30 year'!$C$55)</f>
        <v>2104.2072636925213</v>
      </c>
      <c r="W9" s="2">
        <f>V9*(1+'1 Year Proforma + 30 year'!$C$55)</f>
        <v>2167.3334816032971</v>
      </c>
      <c r="X9" s="2">
        <f>W9*(1+'1 Year Proforma + 30 year'!$C$55)</f>
        <v>2232.353486051396</v>
      </c>
      <c r="Y9" s="2">
        <f>X9*(1+'1 Year Proforma + 30 year'!$C$55)</f>
        <v>2299.3240906329379</v>
      </c>
      <c r="Z9" s="2">
        <f>Y9*(1+'1 Year Proforma + 30 year'!$C$55)</f>
        <v>2368.3038133519262</v>
      </c>
      <c r="AA9" s="2">
        <f>Z9*(1+'1 Year Proforma + 30 year'!$C$55)</f>
        <v>2439.352927752484</v>
      </c>
      <c r="AB9" s="2">
        <f>AA9*(1+'1 Year Proforma + 30 year'!$C$55)</f>
        <v>2512.5335155850585</v>
      </c>
      <c r="AC9" s="2">
        <f>AB9*(1+'1 Year Proforma + 30 year'!$C$55)</f>
        <v>2587.9095210526102</v>
      </c>
      <c r="AD9" s="2">
        <f>AC9*(1+'1 Year Proforma + 30 year'!$C$55)</f>
        <v>2665.5468066841886</v>
      </c>
      <c r="AE9" s="2">
        <f>AD9*(1+'1 Year Proforma + 30 year'!$C$55)</f>
        <v>2745.5132108847142</v>
      </c>
      <c r="AF9" s="2">
        <f>AE9*(1+'1 Year Proforma + 30 year'!$C$55)</f>
        <v>2827.8786072112557</v>
      </c>
      <c r="AG9" s="2"/>
    </row>
    <row r="10" spans="1:33" ht="16.25" customHeight="1" x14ac:dyDescent="0.2">
      <c r="B10" s="2" t="s">
        <v>22</v>
      </c>
      <c r="C10" s="2">
        <f>'1 Year Proforma + 30 year'!H32</f>
        <v>550</v>
      </c>
      <c r="D10" s="2">
        <f>C10*(1+'1 Year Proforma + 30 year'!$C$55)</f>
        <v>566.5</v>
      </c>
      <c r="E10" s="2">
        <f>D10*(1+'1 Year Proforma + 30 year'!$C$55)</f>
        <v>583.495</v>
      </c>
      <c r="F10" s="2">
        <f>E10*(1+'1 Year Proforma + 30 year'!$C$55)</f>
        <v>600.99985000000004</v>
      </c>
      <c r="G10" s="2">
        <f>F10*(1+'1 Year Proforma + 30 year'!$C$55)</f>
        <v>619.02984550000008</v>
      </c>
      <c r="H10" s="2">
        <f>G10*(1+'1 Year Proforma + 30 year'!$C$55)</f>
        <v>637.60074086500015</v>
      </c>
      <c r="I10" s="2">
        <f>H10*(1+'1 Year Proforma + 30 year'!$C$55)</f>
        <v>656.72876309095022</v>
      </c>
      <c r="J10" s="2">
        <f>I10*(1+'1 Year Proforma + 30 year'!$C$55)</f>
        <v>676.43062598367874</v>
      </c>
      <c r="K10" s="2">
        <f>J10*(1+'1 Year Proforma + 30 year'!$C$55)</f>
        <v>696.72354476318912</v>
      </c>
      <c r="L10" s="2">
        <f>K10*(1+'1 Year Proforma + 30 year'!$C$55)</f>
        <v>717.62525110608476</v>
      </c>
      <c r="M10" s="2">
        <f>L10*(1+'1 Year Proforma + 30 year'!$C$55)</f>
        <v>739.15400863926732</v>
      </c>
      <c r="N10" s="2">
        <f>M10*(1+'1 Year Proforma + 30 year'!$C$55)</f>
        <v>761.32862889844534</v>
      </c>
      <c r="O10" s="2">
        <f>N10*(1+'1 Year Proforma + 30 year'!$C$55)</f>
        <v>784.16848776539871</v>
      </c>
      <c r="P10" s="2">
        <f>O10*(1+'1 Year Proforma + 30 year'!$C$55)</f>
        <v>807.69354239836071</v>
      </c>
      <c r="Q10" s="2">
        <f>P10*(1+'1 Year Proforma + 30 year'!$C$55)</f>
        <v>831.92434867031159</v>
      </c>
      <c r="R10" s="2">
        <f>Q10*(1+'1 Year Proforma + 30 year'!$C$55)</f>
        <v>856.88207913042095</v>
      </c>
      <c r="S10" s="2">
        <f>R10*(1+'1 Year Proforma + 30 year'!$C$55)</f>
        <v>882.58854150433365</v>
      </c>
      <c r="T10" s="2">
        <f>S10*(1+'1 Year Proforma + 30 year'!$C$55)</f>
        <v>909.06619774946364</v>
      </c>
      <c r="U10" s="2">
        <f>T10*(1+'1 Year Proforma + 30 year'!$C$55)</f>
        <v>936.33818368194761</v>
      </c>
      <c r="V10" s="2">
        <f>U10*(1+'1 Year Proforma + 30 year'!$C$55)</f>
        <v>964.42832919240607</v>
      </c>
      <c r="W10" s="2">
        <f>V10*(1+'1 Year Proforma + 30 year'!$C$55)</f>
        <v>993.36117906817833</v>
      </c>
      <c r="X10" s="2">
        <f>W10*(1+'1 Year Proforma + 30 year'!$C$55)</f>
        <v>1023.1620144402237</v>
      </c>
      <c r="Y10" s="2">
        <f>X10*(1+'1 Year Proforma + 30 year'!$C$55)</f>
        <v>1053.8568748734306</v>
      </c>
      <c r="Z10" s="2">
        <f>Y10*(1+'1 Year Proforma + 30 year'!$C$55)</f>
        <v>1085.4725811196336</v>
      </c>
      <c r="AA10" s="2">
        <f>Z10*(1+'1 Year Proforma + 30 year'!$C$55)</f>
        <v>1118.0367585532226</v>
      </c>
      <c r="AB10" s="2">
        <f>AA10*(1+'1 Year Proforma + 30 year'!$C$55)</f>
        <v>1151.5778613098194</v>
      </c>
      <c r="AC10" s="2">
        <f>AB10*(1+'1 Year Proforma + 30 year'!$C$55)</f>
        <v>1186.125197149114</v>
      </c>
      <c r="AD10" s="2">
        <f>AC10*(1+'1 Year Proforma + 30 year'!$C$55)</f>
        <v>1221.7089530635874</v>
      </c>
      <c r="AE10" s="2">
        <f>AD10*(1+'1 Year Proforma + 30 year'!$C$55)</f>
        <v>1258.360221655495</v>
      </c>
      <c r="AF10" s="2">
        <f>AE10*(1+'1 Year Proforma + 30 year'!$C$55)</f>
        <v>1296.1110283051598</v>
      </c>
      <c r="AG10" s="2"/>
    </row>
    <row r="11" spans="1:33" ht="16.25" customHeight="1" x14ac:dyDescent="0.2">
      <c r="B11" s="2" t="s">
        <v>24</v>
      </c>
      <c r="C11" s="2">
        <f>'1 Year Proforma + 30 year'!H33</f>
        <v>0</v>
      </c>
      <c r="D11" s="2">
        <f>C11*(1+'1 Year Proforma + 30 year'!$C$55)</f>
        <v>0</v>
      </c>
      <c r="E11" s="2">
        <f>D11*(1+'1 Year Proforma + 30 year'!$C$55)</f>
        <v>0</v>
      </c>
      <c r="F11" s="2">
        <f>E11*(1+'1 Year Proforma + 30 year'!$C$55)</f>
        <v>0</v>
      </c>
      <c r="G11" s="2">
        <f>F11*(1+'1 Year Proforma + 30 year'!$C$55)</f>
        <v>0</v>
      </c>
      <c r="H11" s="2">
        <f>G11*(1+'1 Year Proforma + 30 year'!$C$55)</f>
        <v>0</v>
      </c>
      <c r="I11" s="2">
        <f>H11*(1+'1 Year Proforma + 30 year'!$C$55)</f>
        <v>0</v>
      </c>
      <c r="J11" s="2">
        <f>I11*(1+'1 Year Proforma + 30 year'!$C$55)</f>
        <v>0</v>
      </c>
      <c r="K11" s="2">
        <f>J11*(1+'1 Year Proforma + 30 year'!$C$55)</f>
        <v>0</v>
      </c>
      <c r="L11" s="2">
        <f>K11*(1+'1 Year Proforma + 30 year'!$C$55)</f>
        <v>0</v>
      </c>
      <c r="M11" s="2">
        <f>L11*(1+'1 Year Proforma + 30 year'!$C$55)</f>
        <v>0</v>
      </c>
      <c r="N11" s="2">
        <f>M11*(1+'1 Year Proforma + 30 year'!$C$55)</f>
        <v>0</v>
      </c>
      <c r="O11" s="2">
        <f>N11*(1+'1 Year Proforma + 30 year'!$C$55)</f>
        <v>0</v>
      </c>
      <c r="P11" s="2">
        <f>O11*(1+'1 Year Proforma + 30 year'!$C$55)</f>
        <v>0</v>
      </c>
      <c r="Q11" s="2">
        <f>P11*(1+'1 Year Proforma + 30 year'!$C$55)</f>
        <v>0</v>
      </c>
      <c r="R11" s="2">
        <f>Q11*(1+'1 Year Proforma + 30 year'!$C$55)</f>
        <v>0</v>
      </c>
      <c r="S11" s="2">
        <f>R11*(1+'1 Year Proforma + 30 year'!$C$55)</f>
        <v>0</v>
      </c>
      <c r="T11" s="2">
        <f>S11*(1+'1 Year Proforma + 30 year'!$C$55)</f>
        <v>0</v>
      </c>
      <c r="U11" s="2">
        <f>T11*(1+'1 Year Proforma + 30 year'!$C$55)</f>
        <v>0</v>
      </c>
      <c r="V11" s="2">
        <f>U11*(1+'1 Year Proforma + 30 year'!$C$55)</f>
        <v>0</v>
      </c>
      <c r="W11" s="2">
        <f>V11*(1+'1 Year Proforma + 30 year'!$C$55)</f>
        <v>0</v>
      </c>
      <c r="X11" s="2">
        <f>W11*(1+'1 Year Proforma + 30 year'!$C$55)</f>
        <v>0</v>
      </c>
      <c r="Y11" s="2">
        <f>X11*(1+'1 Year Proforma + 30 year'!$C$55)</f>
        <v>0</v>
      </c>
      <c r="Z11" s="2">
        <f>Y11*(1+'1 Year Proforma + 30 year'!$C$55)</f>
        <v>0</v>
      </c>
      <c r="AA11" s="2">
        <f>Z11*(1+'1 Year Proforma + 30 year'!$C$55)</f>
        <v>0</v>
      </c>
      <c r="AB11" s="2">
        <f>AA11*(1+'1 Year Proforma + 30 year'!$C$55)</f>
        <v>0</v>
      </c>
      <c r="AC11" s="2">
        <f>AB11*(1+'1 Year Proforma + 30 year'!$C$55)</f>
        <v>0</v>
      </c>
      <c r="AD11" s="2">
        <f>AC11*(1+'1 Year Proforma + 30 year'!$C$55)</f>
        <v>0</v>
      </c>
      <c r="AE11" s="2">
        <f>AD11*(1+'1 Year Proforma + 30 year'!$C$55)</f>
        <v>0</v>
      </c>
      <c r="AF11" s="2">
        <f>AE11*(1+'1 Year Proforma + 30 year'!$C$55)</f>
        <v>0</v>
      </c>
      <c r="AG11" s="2"/>
    </row>
    <row r="12" spans="1:33" ht="16.25" customHeight="1" x14ac:dyDescent="0.2">
      <c r="B12" s="2" t="s">
        <v>26</v>
      </c>
      <c r="C12" s="2">
        <f>'1 Year Proforma + 30 year'!H34</f>
        <v>0</v>
      </c>
      <c r="D12" s="2">
        <f>C12*(1+'1 Year Proforma + 30 year'!$C$55)</f>
        <v>0</v>
      </c>
      <c r="E12" s="2">
        <f>D12*(1+'1 Year Proforma + 30 year'!$C$55)</f>
        <v>0</v>
      </c>
      <c r="F12" s="2">
        <f>E12*(1+'1 Year Proforma + 30 year'!$C$55)</f>
        <v>0</v>
      </c>
      <c r="G12" s="2">
        <f>F12*(1+'1 Year Proforma + 30 year'!$C$55)</f>
        <v>0</v>
      </c>
      <c r="H12" s="2">
        <f>G12*(1+'1 Year Proforma + 30 year'!$C$55)</f>
        <v>0</v>
      </c>
      <c r="I12" s="2">
        <f>H12*(1+'1 Year Proforma + 30 year'!$C$55)</f>
        <v>0</v>
      </c>
      <c r="J12" s="2">
        <f>I12*(1+'1 Year Proforma + 30 year'!$C$55)</f>
        <v>0</v>
      </c>
      <c r="K12" s="2">
        <f>J12*(1+'1 Year Proforma + 30 year'!$C$55)</f>
        <v>0</v>
      </c>
      <c r="L12" s="2">
        <f>K12*(1+'1 Year Proforma + 30 year'!$C$55)</f>
        <v>0</v>
      </c>
      <c r="M12" s="2">
        <f>L12*(1+'1 Year Proforma + 30 year'!$C$55)</f>
        <v>0</v>
      </c>
      <c r="N12" s="2">
        <f>M12*(1+'1 Year Proforma + 30 year'!$C$55)</f>
        <v>0</v>
      </c>
      <c r="O12" s="2">
        <f>N12*(1+'1 Year Proforma + 30 year'!$C$55)</f>
        <v>0</v>
      </c>
      <c r="P12" s="2">
        <f>O12*(1+'1 Year Proforma + 30 year'!$C$55)</f>
        <v>0</v>
      </c>
      <c r="Q12" s="2">
        <f>P12*(1+'1 Year Proforma + 30 year'!$C$55)</f>
        <v>0</v>
      </c>
      <c r="R12" s="2">
        <f>Q12*(1+'1 Year Proforma + 30 year'!$C$55)</f>
        <v>0</v>
      </c>
      <c r="S12" s="2">
        <f>R12*(1+'1 Year Proforma + 30 year'!$C$55)</f>
        <v>0</v>
      </c>
      <c r="T12" s="2">
        <f>S12*(1+'1 Year Proforma + 30 year'!$C$55)</f>
        <v>0</v>
      </c>
      <c r="U12" s="2">
        <f>T12*(1+'1 Year Proforma + 30 year'!$C$55)</f>
        <v>0</v>
      </c>
      <c r="V12" s="2">
        <f>U12*(1+'1 Year Proforma + 30 year'!$C$55)</f>
        <v>0</v>
      </c>
      <c r="W12" s="2">
        <f>V12*(1+'1 Year Proforma + 30 year'!$C$55)</f>
        <v>0</v>
      </c>
      <c r="X12" s="2">
        <f>W12*(1+'1 Year Proforma + 30 year'!$C$55)</f>
        <v>0</v>
      </c>
      <c r="Y12" s="2">
        <f>X12*(1+'1 Year Proforma + 30 year'!$C$55)</f>
        <v>0</v>
      </c>
      <c r="Z12" s="2">
        <f>Y12*(1+'1 Year Proforma + 30 year'!$C$55)</f>
        <v>0</v>
      </c>
      <c r="AA12" s="2">
        <f>Z12*(1+'1 Year Proforma + 30 year'!$C$55)</f>
        <v>0</v>
      </c>
      <c r="AB12" s="2">
        <f>AA12*(1+'1 Year Proforma + 30 year'!$C$55)</f>
        <v>0</v>
      </c>
      <c r="AC12" s="2">
        <f>AB12*(1+'1 Year Proforma + 30 year'!$C$55)</f>
        <v>0</v>
      </c>
      <c r="AD12" s="2">
        <f>AC12*(1+'1 Year Proforma + 30 year'!$C$55)</f>
        <v>0</v>
      </c>
      <c r="AE12" s="2">
        <f>AD12*(1+'1 Year Proforma + 30 year'!$C$55)</f>
        <v>0</v>
      </c>
      <c r="AF12" s="2">
        <f>AE12*(1+'1 Year Proforma + 30 year'!$C$55)</f>
        <v>0</v>
      </c>
      <c r="AG12" s="2"/>
    </row>
    <row r="13" spans="1:33" ht="16.25" customHeight="1" x14ac:dyDescent="0.2">
      <c r="B13" s="2" t="s">
        <v>28</v>
      </c>
      <c r="C13" s="2">
        <f>'1 Year Proforma + 30 year'!H35</f>
        <v>1640</v>
      </c>
      <c r="D13" s="2">
        <f>C13*(1+'1 Year Proforma + 30 year'!$C$55)</f>
        <v>1689.2</v>
      </c>
      <c r="E13" s="2">
        <f>D13*(1+'1 Year Proforma + 30 year'!$C$55)</f>
        <v>1739.8760000000002</v>
      </c>
      <c r="F13" s="2">
        <f>E13*(1+'1 Year Proforma + 30 year'!$C$55)</f>
        <v>1792.0722800000003</v>
      </c>
      <c r="G13" s="2">
        <f>F13*(1+'1 Year Proforma + 30 year'!$C$55)</f>
        <v>1845.8344484000004</v>
      </c>
      <c r="H13" s="2">
        <f>G13*(1+'1 Year Proforma + 30 year'!$C$55)</f>
        <v>1901.2094818520004</v>
      </c>
      <c r="I13" s="2">
        <f>H13*(1+'1 Year Proforma + 30 year'!$C$55)</f>
        <v>1958.2457663075604</v>
      </c>
      <c r="J13" s="2">
        <f>I13*(1+'1 Year Proforma + 30 year'!$C$55)</f>
        <v>2016.9931392967874</v>
      </c>
      <c r="K13" s="2">
        <f>J13*(1+'1 Year Proforma + 30 year'!$C$55)</f>
        <v>2077.502933475691</v>
      </c>
      <c r="L13" s="2">
        <f>K13*(1+'1 Year Proforma + 30 year'!$C$55)</f>
        <v>2139.8280214799615</v>
      </c>
      <c r="M13" s="2">
        <f>L13*(1+'1 Year Proforma + 30 year'!$C$55)</f>
        <v>2204.0228621243605</v>
      </c>
      <c r="N13" s="2">
        <f>M13*(1+'1 Year Proforma + 30 year'!$C$55)</f>
        <v>2270.1435479880915</v>
      </c>
      <c r="O13" s="2">
        <f>N13*(1+'1 Year Proforma + 30 year'!$C$55)</f>
        <v>2338.2478544277342</v>
      </c>
      <c r="P13" s="2">
        <f>O13*(1+'1 Year Proforma + 30 year'!$C$55)</f>
        <v>2408.3952900605664</v>
      </c>
      <c r="Q13" s="2">
        <f>P13*(1+'1 Year Proforma + 30 year'!$C$55)</f>
        <v>2480.6471487623835</v>
      </c>
      <c r="R13" s="2">
        <f>Q13*(1+'1 Year Proforma + 30 year'!$C$55)</f>
        <v>2555.0665632252549</v>
      </c>
      <c r="S13" s="2">
        <f>R13*(1+'1 Year Proforma + 30 year'!$C$55)</f>
        <v>2631.7185601220126</v>
      </c>
      <c r="T13" s="2">
        <f>S13*(1+'1 Year Proforma + 30 year'!$C$55)</f>
        <v>2710.670116925673</v>
      </c>
      <c r="U13" s="2">
        <f>T13*(1+'1 Year Proforma + 30 year'!$C$55)</f>
        <v>2791.9902204334435</v>
      </c>
      <c r="V13" s="2">
        <f>U13*(1+'1 Year Proforma + 30 year'!$C$55)</f>
        <v>2875.7499270464468</v>
      </c>
      <c r="W13" s="2">
        <f>V13*(1+'1 Year Proforma + 30 year'!$C$55)</f>
        <v>2962.0224248578402</v>
      </c>
      <c r="X13" s="2">
        <f>W13*(1+'1 Year Proforma + 30 year'!$C$55)</f>
        <v>3050.8830976035756</v>
      </c>
      <c r="Y13" s="2">
        <f>X13*(1+'1 Year Proforma + 30 year'!$C$55)</f>
        <v>3142.4095905316831</v>
      </c>
      <c r="Z13" s="2">
        <f>Y13*(1+'1 Year Proforma + 30 year'!$C$55)</f>
        <v>3236.6818782476334</v>
      </c>
      <c r="AA13" s="2">
        <f>Z13*(1+'1 Year Proforma + 30 year'!$C$55)</f>
        <v>3333.7823345950624</v>
      </c>
      <c r="AB13" s="2">
        <f>AA13*(1+'1 Year Proforma + 30 year'!$C$55)</f>
        <v>3433.7958046329145</v>
      </c>
      <c r="AC13" s="2">
        <f>AB13*(1+'1 Year Proforma + 30 year'!$C$55)</f>
        <v>3536.8096787719019</v>
      </c>
      <c r="AD13" s="2">
        <f>AC13*(1+'1 Year Proforma + 30 year'!$C$55)</f>
        <v>3642.9139691350592</v>
      </c>
      <c r="AE13" s="2">
        <f>AD13*(1+'1 Year Proforma + 30 year'!$C$55)</f>
        <v>3752.201388209111</v>
      </c>
      <c r="AF13" s="2">
        <f>AE13*(1+'1 Year Proforma + 30 year'!$C$55)</f>
        <v>3864.7674298553843</v>
      </c>
      <c r="AG13" s="2"/>
    </row>
    <row r="14" spans="1:33" ht="16.25" customHeight="1" x14ac:dyDescent="0.2">
      <c r="B14" s="2" t="s">
        <v>31</v>
      </c>
      <c r="C14" s="2">
        <f>'1 Year Proforma + 30 year'!H36</f>
        <v>0</v>
      </c>
      <c r="D14" s="2">
        <f>C14*(1+'1 Year Proforma + 30 year'!$C$55)</f>
        <v>0</v>
      </c>
      <c r="E14" s="2">
        <f>D14*(1+'1 Year Proforma + 30 year'!$C$55)</f>
        <v>0</v>
      </c>
      <c r="F14" s="2">
        <f>E14*(1+'1 Year Proforma + 30 year'!$C$55)</f>
        <v>0</v>
      </c>
      <c r="G14" s="2">
        <f>F14*(1+'1 Year Proforma + 30 year'!$C$55)</f>
        <v>0</v>
      </c>
      <c r="H14" s="2">
        <f>G14*(1+'1 Year Proforma + 30 year'!$C$55)</f>
        <v>0</v>
      </c>
      <c r="I14" s="2">
        <f>H14*(1+'1 Year Proforma + 30 year'!$C$55)</f>
        <v>0</v>
      </c>
      <c r="J14" s="2">
        <f>I14*(1+'1 Year Proforma + 30 year'!$C$55)</f>
        <v>0</v>
      </c>
      <c r="K14" s="2">
        <f>J14*(1+'1 Year Proforma + 30 year'!$C$55)</f>
        <v>0</v>
      </c>
      <c r="L14" s="2">
        <f>K14*(1+'1 Year Proforma + 30 year'!$C$55)</f>
        <v>0</v>
      </c>
      <c r="M14" s="2">
        <f>L14*(1+'1 Year Proforma + 30 year'!$C$55)</f>
        <v>0</v>
      </c>
      <c r="N14" s="2">
        <f>M14*(1+'1 Year Proforma + 30 year'!$C$55)</f>
        <v>0</v>
      </c>
      <c r="O14" s="2">
        <f>N14*(1+'1 Year Proforma + 30 year'!$C$55)</f>
        <v>0</v>
      </c>
      <c r="P14" s="2">
        <f>O14*(1+'1 Year Proforma + 30 year'!$C$55)</f>
        <v>0</v>
      </c>
      <c r="Q14" s="2">
        <f>P14*(1+'1 Year Proforma + 30 year'!$C$55)</f>
        <v>0</v>
      </c>
      <c r="R14" s="2">
        <f>Q14*(1+'1 Year Proforma + 30 year'!$C$55)</f>
        <v>0</v>
      </c>
      <c r="S14" s="2">
        <f>R14*(1+'1 Year Proforma + 30 year'!$C$55)</f>
        <v>0</v>
      </c>
      <c r="T14" s="2">
        <f>S14*(1+'1 Year Proforma + 30 year'!$C$55)</f>
        <v>0</v>
      </c>
      <c r="U14" s="2">
        <f>T14*(1+'1 Year Proforma + 30 year'!$C$55)</f>
        <v>0</v>
      </c>
      <c r="V14" s="2">
        <f>U14*(1+'1 Year Proforma + 30 year'!$C$55)</f>
        <v>0</v>
      </c>
      <c r="W14" s="2">
        <f>V14*(1+'1 Year Proforma + 30 year'!$C$55)</f>
        <v>0</v>
      </c>
      <c r="X14" s="2">
        <f>W14*(1+'1 Year Proforma + 30 year'!$C$55)</f>
        <v>0</v>
      </c>
      <c r="Y14" s="2">
        <f>X14*(1+'1 Year Proforma + 30 year'!$C$55)</f>
        <v>0</v>
      </c>
      <c r="Z14" s="2">
        <f>Y14*(1+'1 Year Proforma + 30 year'!$C$55)</f>
        <v>0</v>
      </c>
      <c r="AA14" s="2">
        <f>Z14*(1+'1 Year Proforma + 30 year'!$C$55)</f>
        <v>0</v>
      </c>
      <c r="AB14" s="2">
        <f>AA14*(1+'1 Year Proforma + 30 year'!$C$55)</f>
        <v>0</v>
      </c>
      <c r="AC14" s="2">
        <f>AB14*(1+'1 Year Proforma + 30 year'!$C$55)</f>
        <v>0</v>
      </c>
      <c r="AD14" s="2">
        <f>AC14*(1+'1 Year Proforma + 30 year'!$C$55)</f>
        <v>0</v>
      </c>
      <c r="AE14" s="2">
        <f>AD14*(1+'1 Year Proforma + 30 year'!$C$55)</f>
        <v>0</v>
      </c>
      <c r="AF14" s="2">
        <f>AE14*(1+'1 Year Proforma + 30 year'!$C$55)</f>
        <v>0</v>
      </c>
      <c r="AG14" s="2"/>
    </row>
    <row r="15" spans="1:33" ht="16.25" customHeight="1" x14ac:dyDescent="0.2">
      <c r="B15" s="2" t="s">
        <v>33</v>
      </c>
      <c r="C15" s="2">
        <f>'1 Year Proforma + 30 year'!H37</f>
        <v>3390</v>
      </c>
      <c r="D15" s="2">
        <f>C15*(1+'1 Year Proforma + 30 year'!$C$55)</f>
        <v>3491.7000000000003</v>
      </c>
      <c r="E15" s="2">
        <f>D15*(1+'1 Year Proforma + 30 year'!$C$55)</f>
        <v>3596.4510000000005</v>
      </c>
      <c r="F15" s="2">
        <f>E15*(1+'1 Year Proforma + 30 year'!$C$55)</f>
        <v>3704.3445300000008</v>
      </c>
      <c r="G15" s="2">
        <f>F15*(1+'1 Year Proforma + 30 year'!$C$55)</f>
        <v>3815.4748659000011</v>
      </c>
      <c r="H15" s="2">
        <f>G15*(1+'1 Year Proforma + 30 year'!$C$55)</f>
        <v>3929.9391118770013</v>
      </c>
      <c r="I15" s="2">
        <f>H15*(1+'1 Year Proforma + 30 year'!$C$55)</f>
        <v>4047.8372852333114</v>
      </c>
      <c r="J15" s="2">
        <f>I15*(1+'1 Year Proforma + 30 year'!$C$55)</f>
        <v>4169.2724037903108</v>
      </c>
      <c r="K15" s="2">
        <f>J15*(1+'1 Year Proforma + 30 year'!$C$55)</f>
        <v>4294.3505759040199</v>
      </c>
      <c r="L15" s="2">
        <f>K15*(1+'1 Year Proforma + 30 year'!$C$55)</f>
        <v>4423.1810931811406</v>
      </c>
      <c r="M15" s="2">
        <f>L15*(1+'1 Year Proforma + 30 year'!$C$55)</f>
        <v>4555.8765259765751</v>
      </c>
      <c r="N15" s="2">
        <f>M15*(1+'1 Year Proforma + 30 year'!$C$55)</f>
        <v>4692.5528217558722</v>
      </c>
      <c r="O15" s="2">
        <f>N15*(1+'1 Year Proforma + 30 year'!$C$55)</f>
        <v>4833.3294064085485</v>
      </c>
      <c r="P15" s="2">
        <f>O15*(1+'1 Year Proforma + 30 year'!$C$55)</f>
        <v>4978.3292886008048</v>
      </c>
      <c r="Q15" s="2">
        <f>P15*(1+'1 Year Proforma + 30 year'!$C$55)</f>
        <v>5127.6791672588288</v>
      </c>
      <c r="R15" s="2">
        <f>Q15*(1+'1 Year Proforma + 30 year'!$C$55)</f>
        <v>5281.5095422765935</v>
      </c>
      <c r="S15" s="2">
        <f>R15*(1+'1 Year Proforma + 30 year'!$C$55)</f>
        <v>5439.9548285448918</v>
      </c>
      <c r="T15" s="2">
        <f>S15*(1+'1 Year Proforma + 30 year'!$C$55)</f>
        <v>5603.1534734012384</v>
      </c>
      <c r="U15" s="2">
        <f>T15*(1+'1 Year Proforma + 30 year'!$C$55)</f>
        <v>5771.2480776032753</v>
      </c>
      <c r="V15" s="2">
        <f>U15*(1+'1 Year Proforma + 30 year'!$C$55)</f>
        <v>5944.3855199313739</v>
      </c>
      <c r="W15" s="2">
        <f>V15*(1+'1 Year Proforma + 30 year'!$C$55)</f>
        <v>6122.7170855293152</v>
      </c>
      <c r="X15" s="2">
        <f>W15*(1+'1 Year Proforma + 30 year'!$C$55)</f>
        <v>6306.3985980951948</v>
      </c>
      <c r="Y15" s="2">
        <f>X15*(1+'1 Year Proforma + 30 year'!$C$55)</f>
        <v>6495.5905560380506</v>
      </c>
      <c r="Z15" s="2">
        <f>Y15*(1+'1 Year Proforma + 30 year'!$C$55)</f>
        <v>6690.4582727191919</v>
      </c>
      <c r="AA15" s="2">
        <f>Z15*(1+'1 Year Proforma + 30 year'!$C$55)</f>
        <v>6891.1720209007681</v>
      </c>
      <c r="AB15" s="2">
        <f>AA15*(1+'1 Year Proforma + 30 year'!$C$55)</f>
        <v>7097.9071815277912</v>
      </c>
      <c r="AC15" s="2">
        <f>AB15*(1+'1 Year Proforma + 30 year'!$C$55)</f>
        <v>7310.8443969736254</v>
      </c>
      <c r="AD15" s="2">
        <f>AC15*(1+'1 Year Proforma + 30 year'!$C$55)</f>
        <v>7530.1697288828345</v>
      </c>
      <c r="AE15" s="2">
        <f>AD15*(1+'1 Year Proforma + 30 year'!$C$55)</f>
        <v>7756.0748207493198</v>
      </c>
      <c r="AF15" s="2">
        <f>AE15*(1+'1 Year Proforma + 30 year'!$C$55)</f>
        <v>7988.7570653717994</v>
      </c>
      <c r="AG15" s="2"/>
    </row>
    <row r="16" spans="1:33" ht="16.25" customHeight="1" x14ac:dyDescent="0.2">
      <c r="B16" s="4" t="s">
        <v>18</v>
      </c>
      <c r="C16" s="4" t="s">
        <v>18</v>
      </c>
      <c r="D16" s="4" t="s">
        <v>18</v>
      </c>
      <c r="E16" s="4" t="s">
        <v>18</v>
      </c>
      <c r="F16" s="4" t="s">
        <v>18</v>
      </c>
      <c r="G16" s="4" t="s">
        <v>18</v>
      </c>
      <c r="H16" s="4" t="s">
        <v>18</v>
      </c>
      <c r="I16" s="4" t="s">
        <v>18</v>
      </c>
      <c r="J16" s="4" t="s">
        <v>18</v>
      </c>
      <c r="K16" s="4" t="s">
        <v>18</v>
      </c>
      <c r="L16" s="4" t="s">
        <v>18</v>
      </c>
      <c r="M16" s="4" t="s">
        <v>18</v>
      </c>
      <c r="N16" s="4" t="s">
        <v>18</v>
      </c>
      <c r="O16" s="4" t="s">
        <v>18</v>
      </c>
      <c r="P16" s="4" t="s">
        <v>18</v>
      </c>
      <c r="Q16" s="4" t="s">
        <v>18</v>
      </c>
      <c r="R16" s="4" t="s">
        <v>18</v>
      </c>
      <c r="S16" s="4" t="s">
        <v>18</v>
      </c>
      <c r="T16" s="4" t="s">
        <v>18</v>
      </c>
      <c r="U16" s="4" t="s">
        <v>18</v>
      </c>
      <c r="V16" s="4" t="s">
        <v>18</v>
      </c>
      <c r="W16" s="4" t="s">
        <v>18</v>
      </c>
      <c r="X16" s="4" t="s">
        <v>18</v>
      </c>
      <c r="Y16" s="4" t="s">
        <v>18</v>
      </c>
      <c r="Z16" s="4" t="s">
        <v>18</v>
      </c>
      <c r="AA16" s="4" t="s">
        <v>18</v>
      </c>
      <c r="AB16" s="4" t="s">
        <v>18</v>
      </c>
      <c r="AC16" s="4" t="s">
        <v>18</v>
      </c>
      <c r="AD16" s="4" t="s">
        <v>18</v>
      </c>
      <c r="AE16" s="4" t="s">
        <v>18</v>
      </c>
      <c r="AF16" s="4" t="s">
        <v>18</v>
      </c>
      <c r="AG16" s="4"/>
    </row>
    <row r="17" spans="1:33" ht="16.25" customHeight="1" x14ac:dyDescent="0.2">
      <c r="B17" s="3" t="s">
        <v>36</v>
      </c>
      <c r="C17" s="3">
        <f t="shared" ref="C17:AF17" si="1">C7-C15</f>
        <v>12150</v>
      </c>
      <c r="D17" s="3">
        <f t="shared" si="1"/>
        <v>12514.5</v>
      </c>
      <c r="E17" s="3">
        <f t="shared" si="1"/>
        <v>12889.935000000001</v>
      </c>
      <c r="F17" s="3">
        <f t="shared" si="1"/>
        <v>13276.633050000002</v>
      </c>
      <c r="G17" s="3">
        <f t="shared" si="1"/>
        <v>13674.932041500002</v>
      </c>
      <c r="H17" s="3">
        <f t="shared" si="1"/>
        <v>14085.180002745003</v>
      </c>
      <c r="I17" s="3">
        <f t="shared" si="1"/>
        <v>14507.735402827351</v>
      </c>
      <c r="J17" s="3">
        <f t="shared" si="1"/>
        <v>14942.967464912173</v>
      </c>
      <c r="K17" s="3">
        <f t="shared" si="1"/>
        <v>15391.256488859537</v>
      </c>
      <c r="L17" s="3">
        <f t="shared" si="1"/>
        <v>15852.994183525323</v>
      </c>
      <c r="M17" s="3">
        <f t="shared" si="1"/>
        <v>16328.584009031085</v>
      </c>
      <c r="N17" s="3">
        <f t="shared" si="1"/>
        <v>16818.441529302017</v>
      </c>
      <c r="O17" s="3">
        <f t="shared" si="1"/>
        <v>17322.994775181076</v>
      </c>
      <c r="P17" s="3">
        <f t="shared" si="1"/>
        <v>17842.684618436509</v>
      </c>
      <c r="Q17" s="3">
        <f t="shared" si="1"/>
        <v>18377.965156989605</v>
      </c>
      <c r="R17" s="3">
        <f t="shared" si="1"/>
        <v>18929.304111699297</v>
      </c>
      <c r="S17" s="3">
        <f t="shared" si="1"/>
        <v>19497.183235050274</v>
      </c>
      <c r="T17" s="3">
        <f t="shared" si="1"/>
        <v>20082.098732101782</v>
      </c>
      <c r="U17" s="3">
        <f t="shared" si="1"/>
        <v>20684.561694064836</v>
      </c>
      <c r="V17" s="3">
        <f t="shared" si="1"/>
        <v>21305.098544886783</v>
      </c>
      <c r="W17" s="3">
        <f t="shared" si="1"/>
        <v>21944.251501233386</v>
      </c>
      <c r="X17" s="3">
        <f t="shared" si="1"/>
        <v>22602.579046270388</v>
      </c>
      <c r="Y17" s="3">
        <f t="shared" si="1"/>
        <v>23280.656417658502</v>
      </c>
      <c r="Z17" s="3">
        <f t="shared" si="1"/>
        <v>23979.076110188256</v>
      </c>
      <c r="AA17" s="3">
        <f t="shared" si="1"/>
        <v>24698.448393493902</v>
      </c>
      <c r="AB17" s="3">
        <f t="shared" si="1"/>
        <v>25439.401845298722</v>
      </c>
      <c r="AC17" s="3">
        <f t="shared" si="1"/>
        <v>26202.583900657679</v>
      </c>
      <c r="AD17" s="3">
        <f t="shared" si="1"/>
        <v>26988.661417677409</v>
      </c>
      <c r="AE17" s="3">
        <f t="shared" si="1"/>
        <v>27798.321260207736</v>
      </c>
      <c r="AF17" s="3">
        <f t="shared" si="1"/>
        <v>28632.270898013972</v>
      </c>
      <c r="AG17" s="3"/>
    </row>
    <row r="18" spans="1:33" ht="16.25" customHeight="1" x14ac:dyDescent="0.2">
      <c r="B18" s="2" t="s">
        <v>38</v>
      </c>
      <c r="C18" s="2">
        <f>'1 Year Proforma + 30 year'!H40</f>
        <v>5752.7486410615402</v>
      </c>
      <c r="D18" s="2">
        <f t="shared" ref="D18:AF18" si="2">C18</f>
        <v>5752.7486410615402</v>
      </c>
      <c r="E18" s="2">
        <f t="shared" si="2"/>
        <v>5752.7486410615402</v>
      </c>
      <c r="F18" s="2">
        <f t="shared" si="2"/>
        <v>5752.7486410615402</v>
      </c>
      <c r="G18" s="2">
        <f t="shared" si="2"/>
        <v>5752.7486410615402</v>
      </c>
      <c r="H18" s="2">
        <f t="shared" si="2"/>
        <v>5752.7486410615402</v>
      </c>
      <c r="I18" s="2">
        <f t="shared" si="2"/>
        <v>5752.7486410615402</v>
      </c>
      <c r="J18" s="2">
        <f t="shared" si="2"/>
        <v>5752.7486410615402</v>
      </c>
      <c r="K18" s="2">
        <f t="shared" si="2"/>
        <v>5752.7486410615402</v>
      </c>
      <c r="L18" s="2">
        <f t="shared" si="2"/>
        <v>5752.7486410615402</v>
      </c>
      <c r="M18" s="2">
        <f t="shared" si="2"/>
        <v>5752.7486410615402</v>
      </c>
      <c r="N18" s="2">
        <f t="shared" si="2"/>
        <v>5752.7486410615402</v>
      </c>
      <c r="O18" s="2">
        <f t="shared" si="2"/>
        <v>5752.7486410615402</v>
      </c>
      <c r="P18" s="2">
        <f t="shared" si="2"/>
        <v>5752.7486410615402</v>
      </c>
      <c r="Q18" s="2">
        <f t="shared" si="2"/>
        <v>5752.7486410615402</v>
      </c>
      <c r="R18" s="2">
        <f t="shared" si="2"/>
        <v>5752.7486410615402</v>
      </c>
      <c r="S18" s="2">
        <f t="shared" si="2"/>
        <v>5752.7486410615402</v>
      </c>
      <c r="T18" s="2">
        <f t="shared" si="2"/>
        <v>5752.7486410615402</v>
      </c>
      <c r="U18" s="2">
        <f t="shared" si="2"/>
        <v>5752.7486410615402</v>
      </c>
      <c r="V18" s="2">
        <f t="shared" si="2"/>
        <v>5752.7486410615402</v>
      </c>
      <c r="W18" s="2">
        <f t="shared" si="2"/>
        <v>5752.7486410615402</v>
      </c>
      <c r="X18" s="2">
        <f t="shared" si="2"/>
        <v>5752.7486410615402</v>
      </c>
      <c r="Y18" s="2">
        <f t="shared" si="2"/>
        <v>5752.7486410615402</v>
      </c>
      <c r="Z18" s="2">
        <f t="shared" si="2"/>
        <v>5752.7486410615402</v>
      </c>
      <c r="AA18" s="2">
        <f t="shared" si="2"/>
        <v>5752.7486410615402</v>
      </c>
      <c r="AB18" s="2">
        <f t="shared" si="2"/>
        <v>5752.7486410615402</v>
      </c>
      <c r="AC18" s="2">
        <f t="shared" si="2"/>
        <v>5752.7486410615402</v>
      </c>
      <c r="AD18" s="2">
        <f t="shared" si="2"/>
        <v>5752.7486410615402</v>
      </c>
      <c r="AE18" s="2">
        <f t="shared" si="2"/>
        <v>5752.7486410615402</v>
      </c>
      <c r="AF18" s="2">
        <f t="shared" si="2"/>
        <v>5752.7486410615402</v>
      </c>
      <c r="AG18" s="2"/>
    </row>
    <row r="19" spans="1:33" ht="16.25" customHeight="1" x14ac:dyDescent="0.2">
      <c r="B19" s="8" t="s">
        <v>39</v>
      </c>
      <c r="C19" s="8">
        <f t="shared" ref="C19:AF19" si="3">C17-C18</f>
        <v>6397.2513589384598</v>
      </c>
      <c r="D19" s="8">
        <f t="shared" si="3"/>
        <v>6761.7513589384598</v>
      </c>
      <c r="E19" s="8">
        <f t="shared" si="3"/>
        <v>7137.1863589384611</v>
      </c>
      <c r="F19" s="8">
        <f t="shared" si="3"/>
        <v>7523.884408938462</v>
      </c>
      <c r="G19" s="8">
        <f t="shared" si="3"/>
        <v>7922.1834004384618</v>
      </c>
      <c r="H19" s="8">
        <f t="shared" si="3"/>
        <v>8332.4313616834625</v>
      </c>
      <c r="I19" s="8">
        <f t="shared" si="3"/>
        <v>8754.986761765811</v>
      </c>
      <c r="J19" s="8">
        <f t="shared" si="3"/>
        <v>9190.2188238506333</v>
      </c>
      <c r="K19" s="8">
        <f t="shared" si="3"/>
        <v>9638.5078477979969</v>
      </c>
      <c r="L19" s="8">
        <f t="shared" si="3"/>
        <v>10100.245542463783</v>
      </c>
      <c r="M19" s="8">
        <f t="shared" si="3"/>
        <v>10575.835367969545</v>
      </c>
      <c r="N19" s="8">
        <f t="shared" si="3"/>
        <v>11065.692888240477</v>
      </c>
      <c r="O19" s="8">
        <f t="shared" si="3"/>
        <v>11570.246134119536</v>
      </c>
      <c r="P19" s="8">
        <f t="shared" si="3"/>
        <v>12089.935977374969</v>
      </c>
      <c r="Q19" s="8">
        <f t="shared" si="3"/>
        <v>12625.216515928065</v>
      </c>
      <c r="R19" s="8">
        <f t="shared" si="3"/>
        <v>13176.555470637757</v>
      </c>
      <c r="S19" s="8">
        <f t="shared" si="3"/>
        <v>13744.434593988733</v>
      </c>
      <c r="T19" s="8">
        <f t="shared" si="3"/>
        <v>14329.350091040242</v>
      </c>
      <c r="U19" s="8">
        <f t="shared" si="3"/>
        <v>14931.813053003296</v>
      </c>
      <c r="V19" s="8">
        <f t="shared" si="3"/>
        <v>15552.349903825243</v>
      </c>
      <c r="W19" s="8">
        <f t="shared" si="3"/>
        <v>16191.502860171846</v>
      </c>
      <c r="X19" s="8">
        <f t="shared" si="3"/>
        <v>16849.83040520885</v>
      </c>
      <c r="Y19" s="8">
        <f t="shared" si="3"/>
        <v>17527.907776596963</v>
      </c>
      <c r="Z19" s="8">
        <f t="shared" si="3"/>
        <v>18226.327469126714</v>
      </c>
      <c r="AA19" s="8">
        <f t="shared" si="3"/>
        <v>18945.69975243236</v>
      </c>
      <c r="AB19" s="8">
        <f t="shared" si="3"/>
        <v>19686.653204237184</v>
      </c>
      <c r="AC19" s="8">
        <f t="shared" si="3"/>
        <v>20449.835259596141</v>
      </c>
      <c r="AD19" s="8">
        <f t="shared" si="3"/>
        <v>21235.912776615871</v>
      </c>
      <c r="AE19" s="8">
        <f t="shared" si="3"/>
        <v>22045.572619146194</v>
      </c>
      <c r="AF19" s="8">
        <f t="shared" si="3"/>
        <v>22879.522256952434</v>
      </c>
      <c r="AG19" s="3"/>
    </row>
    <row r="20" spans="1:33" s="7" customFormat="1" ht="16.25" customHeight="1" x14ac:dyDescent="0.2">
      <c r="A20" s="1"/>
      <c r="B20" s="67" t="s">
        <v>43</v>
      </c>
      <c r="C20" s="67">
        <f t="shared" ref="C20:AF20" si="4">C19/12</f>
        <v>533.10427991153836</v>
      </c>
      <c r="D20" s="67">
        <f t="shared" si="4"/>
        <v>563.47927991153836</v>
      </c>
      <c r="E20" s="67">
        <f t="shared" si="4"/>
        <v>594.76552991153847</v>
      </c>
      <c r="F20" s="67">
        <f t="shared" si="4"/>
        <v>626.9903674115385</v>
      </c>
      <c r="G20" s="67">
        <f t="shared" si="4"/>
        <v>660.18195003653852</v>
      </c>
      <c r="H20" s="67">
        <f t="shared" si="4"/>
        <v>694.36928014028854</v>
      </c>
      <c r="I20" s="67">
        <f t="shared" si="4"/>
        <v>729.58223014715088</v>
      </c>
      <c r="J20" s="67">
        <f t="shared" si="4"/>
        <v>765.85156865421948</v>
      </c>
      <c r="K20" s="67">
        <f t="shared" si="4"/>
        <v>803.2089873164997</v>
      </c>
      <c r="L20" s="67">
        <f t="shared" si="4"/>
        <v>841.68712853864861</v>
      </c>
      <c r="M20" s="67">
        <f t="shared" si="4"/>
        <v>881.31961399746206</v>
      </c>
      <c r="N20" s="67">
        <f t="shared" si="4"/>
        <v>922.14107402003981</v>
      </c>
      <c r="O20" s="67">
        <f t="shared" si="4"/>
        <v>964.18717784329465</v>
      </c>
      <c r="P20" s="67">
        <f t="shared" si="4"/>
        <v>1007.4946647812475</v>
      </c>
      <c r="Q20" s="67">
        <f t="shared" si="4"/>
        <v>1052.1013763273388</v>
      </c>
      <c r="R20" s="67">
        <f t="shared" si="4"/>
        <v>1098.0462892198132</v>
      </c>
      <c r="S20" s="67">
        <f t="shared" si="4"/>
        <v>1145.3695494990611</v>
      </c>
      <c r="T20" s="67">
        <f t="shared" si="4"/>
        <v>1194.1125075866869</v>
      </c>
      <c r="U20" s="67">
        <f t="shared" si="4"/>
        <v>1244.3177544169414</v>
      </c>
      <c r="V20" s="67">
        <f t="shared" si="4"/>
        <v>1296.0291586521037</v>
      </c>
      <c r="W20" s="67">
        <f t="shared" si="4"/>
        <v>1349.2919050143205</v>
      </c>
      <c r="X20" s="67">
        <f t="shared" si="4"/>
        <v>1404.1525337674041</v>
      </c>
      <c r="Y20" s="67">
        <f t="shared" si="4"/>
        <v>1460.6589813830803</v>
      </c>
      <c r="Z20" s="67">
        <f t="shared" si="4"/>
        <v>1518.8606224272262</v>
      </c>
      <c r="AA20" s="67">
        <f t="shared" si="4"/>
        <v>1578.8083127026966</v>
      </c>
      <c r="AB20" s="67">
        <f t="shared" si="4"/>
        <v>1640.554433686432</v>
      </c>
      <c r="AC20" s="67">
        <f t="shared" si="4"/>
        <v>1704.1529382996785</v>
      </c>
      <c r="AD20" s="67">
        <f t="shared" si="4"/>
        <v>1769.6593980513226</v>
      </c>
      <c r="AE20" s="67">
        <f t="shared" si="4"/>
        <v>1837.1310515955163</v>
      </c>
      <c r="AF20" s="67">
        <f t="shared" si="4"/>
        <v>1906.6268547460361</v>
      </c>
      <c r="AG20" s="68"/>
    </row>
    <row r="21" spans="1:33" ht="16.25" customHeight="1" x14ac:dyDescent="0.2">
      <c r="B21" s="4" t="s">
        <v>18</v>
      </c>
      <c r="C21" s="4" t="s">
        <v>18</v>
      </c>
      <c r="D21" s="4" t="s">
        <v>18</v>
      </c>
      <c r="E21" s="4" t="s">
        <v>18</v>
      </c>
      <c r="F21" s="4" t="s">
        <v>18</v>
      </c>
      <c r="G21" s="4" t="s">
        <v>18</v>
      </c>
      <c r="H21" s="4" t="s">
        <v>18</v>
      </c>
      <c r="I21" s="4" t="s">
        <v>18</v>
      </c>
      <c r="J21" s="4" t="s">
        <v>18</v>
      </c>
      <c r="K21" s="4" t="s">
        <v>18</v>
      </c>
      <c r="L21" s="4" t="s">
        <v>18</v>
      </c>
      <c r="M21" s="4" t="s">
        <v>18</v>
      </c>
      <c r="N21" s="4" t="s">
        <v>18</v>
      </c>
      <c r="O21" s="4" t="s">
        <v>18</v>
      </c>
      <c r="P21" s="4" t="s">
        <v>18</v>
      </c>
      <c r="Q21" s="4" t="s">
        <v>18</v>
      </c>
      <c r="R21" s="4" t="s">
        <v>18</v>
      </c>
      <c r="S21" s="4" t="s">
        <v>18</v>
      </c>
      <c r="T21" s="4" t="s">
        <v>18</v>
      </c>
      <c r="U21" s="4" t="s">
        <v>18</v>
      </c>
      <c r="V21" s="4" t="s">
        <v>18</v>
      </c>
      <c r="W21" s="4" t="s">
        <v>18</v>
      </c>
      <c r="X21" s="4" t="s">
        <v>18</v>
      </c>
      <c r="Y21" s="4" t="s">
        <v>18</v>
      </c>
      <c r="Z21" s="4" t="s">
        <v>18</v>
      </c>
      <c r="AA21" s="4" t="s">
        <v>18</v>
      </c>
      <c r="AB21" s="4" t="s">
        <v>18</v>
      </c>
      <c r="AC21" s="4" t="s">
        <v>18</v>
      </c>
      <c r="AD21" s="4" t="s">
        <v>18</v>
      </c>
      <c r="AE21" s="4" t="s">
        <v>18</v>
      </c>
      <c r="AF21" s="4" t="s">
        <v>18</v>
      </c>
      <c r="AG21" s="4"/>
    </row>
    <row r="22" spans="1:33" s="69" customFormat="1" ht="16.25" customHeight="1" x14ac:dyDescent="0.2">
      <c r="A22" s="61"/>
      <c r="B22" s="70" t="s">
        <v>46</v>
      </c>
      <c r="C22" s="70" t="s">
        <v>3</v>
      </c>
      <c r="D22" s="70" t="s">
        <v>4</v>
      </c>
      <c r="E22" s="70" t="s">
        <v>5</v>
      </c>
      <c r="F22" s="70" t="s">
        <v>6</v>
      </c>
      <c r="G22" s="70" t="s">
        <v>7</v>
      </c>
      <c r="H22" s="70" t="s">
        <v>99</v>
      </c>
      <c r="I22" s="70" t="s">
        <v>100</v>
      </c>
      <c r="J22" s="70" t="s">
        <v>101</v>
      </c>
      <c r="K22" s="70" t="s">
        <v>102</v>
      </c>
      <c r="L22" s="70" t="s">
        <v>8</v>
      </c>
      <c r="M22" s="70" t="s">
        <v>103</v>
      </c>
      <c r="N22" s="70" t="s">
        <v>104</v>
      </c>
      <c r="O22" s="70" t="s">
        <v>105</v>
      </c>
      <c r="P22" s="70" t="s">
        <v>106</v>
      </c>
      <c r="Q22" s="70" t="s">
        <v>107</v>
      </c>
      <c r="R22" s="70" t="s">
        <v>108</v>
      </c>
      <c r="S22" s="70" t="s">
        <v>109</v>
      </c>
      <c r="T22" s="70" t="s">
        <v>110</v>
      </c>
      <c r="U22" s="70" t="s">
        <v>111</v>
      </c>
      <c r="V22" s="70" t="s">
        <v>9</v>
      </c>
      <c r="W22" s="70" t="s">
        <v>112</v>
      </c>
      <c r="X22" s="70" t="s">
        <v>113</v>
      </c>
      <c r="Y22" s="70" t="s">
        <v>114</v>
      </c>
      <c r="Z22" s="70" t="s">
        <v>115</v>
      </c>
      <c r="AA22" s="70" t="s">
        <v>116</v>
      </c>
      <c r="AB22" s="70" t="s">
        <v>117</v>
      </c>
      <c r="AC22" s="70" t="s">
        <v>118</v>
      </c>
      <c r="AD22" s="70" t="s">
        <v>119</v>
      </c>
      <c r="AE22" s="70" t="s">
        <v>120</v>
      </c>
      <c r="AF22" s="70" t="s">
        <v>10</v>
      </c>
      <c r="AG22" s="71"/>
    </row>
    <row r="23" spans="1:33" ht="16.25" customHeight="1" x14ac:dyDescent="0.2">
      <c r="B23" s="2" t="s">
        <v>48</v>
      </c>
      <c r="C23" s="2">
        <f>'1 Year Proforma + 30 year'!H45</f>
        <v>4215.272727272727</v>
      </c>
      <c r="D23" s="2">
        <f t="shared" ref="D23:AF23" si="5">C23</f>
        <v>4215.272727272727</v>
      </c>
      <c r="E23" s="2">
        <f t="shared" si="5"/>
        <v>4215.272727272727</v>
      </c>
      <c r="F23" s="2">
        <f t="shared" si="5"/>
        <v>4215.272727272727</v>
      </c>
      <c r="G23" s="2">
        <f t="shared" si="5"/>
        <v>4215.272727272727</v>
      </c>
      <c r="H23" s="2">
        <f t="shared" si="5"/>
        <v>4215.272727272727</v>
      </c>
      <c r="I23" s="2">
        <f t="shared" si="5"/>
        <v>4215.272727272727</v>
      </c>
      <c r="J23" s="2">
        <f t="shared" si="5"/>
        <v>4215.272727272727</v>
      </c>
      <c r="K23" s="2">
        <f t="shared" si="5"/>
        <v>4215.272727272727</v>
      </c>
      <c r="L23" s="2">
        <f t="shared" si="5"/>
        <v>4215.272727272727</v>
      </c>
      <c r="M23" s="2">
        <f t="shared" si="5"/>
        <v>4215.272727272727</v>
      </c>
      <c r="N23" s="2">
        <f t="shared" si="5"/>
        <v>4215.272727272727</v>
      </c>
      <c r="O23" s="2">
        <f t="shared" si="5"/>
        <v>4215.272727272727</v>
      </c>
      <c r="P23" s="2">
        <f t="shared" si="5"/>
        <v>4215.272727272727</v>
      </c>
      <c r="Q23" s="2">
        <f t="shared" si="5"/>
        <v>4215.272727272727</v>
      </c>
      <c r="R23" s="2">
        <f t="shared" si="5"/>
        <v>4215.272727272727</v>
      </c>
      <c r="S23" s="2">
        <f t="shared" si="5"/>
        <v>4215.272727272727</v>
      </c>
      <c r="T23" s="2">
        <f t="shared" si="5"/>
        <v>4215.272727272727</v>
      </c>
      <c r="U23" s="2">
        <f t="shared" si="5"/>
        <v>4215.272727272727</v>
      </c>
      <c r="V23" s="2">
        <f t="shared" si="5"/>
        <v>4215.272727272727</v>
      </c>
      <c r="W23" s="2">
        <f t="shared" si="5"/>
        <v>4215.272727272727</v>
      </c>
      <c r="X23" s="2">
        <f t="shared" si="5"/>
        <v>4215.272727272727</v>
      </c>
      <c r="Y23" s="2">
        <f t="shared" si="5"/>
        <v>4215.272727272727</v>
      </c>
      <c r="Z23" s="2">
        <f t="shared" si="5"/>
        <v>4215.272727272727</v>
      </c>
      <c r="AA23" s="2">
        <f t="shared" si="5"/>
        <v>4215.272727272727</v>
      </c>
      <c r="AB23" s="2">
        <f t="shared" si="5"/>
        <v>4215.272727272727</v>
      </c>
      <c r="AC23" s="2">
        <f t="shared" si="5"/>
        <v>4215.272727272727</v>
      </c>
      <c r="AD23" s="2">
        <f t="shared" si="5"/>
        <v>4215.272727272727</v>
      </c>
      <c r="AE23" s="2">
        <f t="shared" si="5"/>
        <v>4215.272727272727</v>
      </c>
      <c r="AF23" s="2">
        <f t="shared" si="5"/>
        <v>4215.272727272727</v>
      </c>
      <c r="AG23" s="2"/>
    </row>
    <row r="24" spans="1:33" ht="16.25" customHeight="1" x14ac:dyDescent="0.2">
      <c r="B24" s="2" t="s">
        <v>49</v>
      </c>
      <c r="C24" s="2">
        <f>'1 Year Proforma + 30 year'!H46</f>
        <v>3271.4749472504459</v>
      </c>
      <c r="D24" s="2">
        <f>'Loan Amortization Schedule'!K41</f>
        <v>3199.827563201678</v>
      </c>
      <c r="E24" s="2">
        <f>'Loan Amortization Schedule'!K53</f>
        <v>3126.1113434360632</v>
      </c>
      <c r="F24" s="2">
        <f>'Loan Amortization Schedule'!K65</f>
        <v>3050.2665498168863</v>
      </c>
      <c r="G24" s="2">
        <f>'Loan Amortization Schedule'!K77</f>
        <v>2972.231719254145</v>
      </c>
      <c r="H24" s="2">
        <f>'Loan Amortization Schedule'!K89</f>
        <v>2891.9436138961119</v>
      </c>
      <c r="I24" s="2">
        <f>'Loan Amortization Schedule'!K101</f>
        <v>2809.3371698826049</v>
      </c>
      <c r="J24" s="2">
        <f>'Loan Amortization Schedule'!K113</f>
        <v>2724.3454446186406</v>
      </c>
      <c r="K24" s="2">
        <f>'Loan Amortization Schedule'!K125</f>
        <v>2636.8995625254065</v>
      </c>
      <c r="L24" s="2">
        <f>'Loan Amortization Schedule'!K137</f>
        <v>2546.92865922493</v>
      </c>
      <c r="M24" s="2">
        <f>'Loan Amortization Schedule'!K149</f>
        <v>2454.3598241130421</v>
      </c>
      <c r="N24" s="2">
        <f>'Loan Amortization Schedule'!K161</f>
        <v>2359.1180412740468</v>
      </c>
      <c r="O24" s="2">
        <f>'Loan Amortization Schedule'!K173</f>
        <v>2261.1261286893423</v>
      </c>
      <c r="P24" s="2">
        <f>'Loan Amortization Schedule'!K185</f>
        <v>2160.3046756907424</v>
      </c>
      <c r="Q24" s="2">
        <f>'Loan Amortization Schedule'!K197</f>
        <v>2056.5719786075497</v>
      </c>
      <c r="R24" s="2">
        <f>'Loan Amortization Schedule'!K209</f>
        <v>1949.8439745556461</v>
      </c>
      <c r="S24" s="2">
        <f>'Loan Amortization Schedule'!K221</f>
        <v>1840.0341733146197</v>
      </c>
      <c r="T24" s="2">
        <f>'Loan Amortization Schedule'!K233</f>
        <v>1727.0535872377877</v>
      </c>
      <c r="U24" s="2">
        <f>'Loan Amortization Schedule'!Q378</f>
        <v>0</v>
      </c>
      <c r="V24" s="2">
        <f>'Loan Amortization Schedule'!R378</f>
        <v>0</v>
      </c>
      <c r="W24" s="2">
        <f>'Loan Amortization Schedule'!S378</f>
        <v>0</v>
      </c>
      <c r="X24" s="2">
        <f>'Loan Amortization Schedule'!T378</f>
        <v>0</v>
      </c>
      <c r="Y24" s="2">
        <f>'Loan Amortization Schedule'!U378</f>
        <v>0</v>
      </c>
      <c r="Z24" s="2">
        <f>'Loan Amortization Schedule'!V378</f>
        <v>0</v>
      </c>
      <c r="AA24" s="2">
        <f>'Loan Amortization Schedule'!W378</f>
        <v>0</v>
      </c>
      <c r="AB24" s="2">
        <f>'Loan Amortization Schedule'!X378</f>
        <v>0</v>
      </c>
      <c r="AC24" s="2">
        <f>'Loan Amortization Schedule'!Y378</f>
        <v>0</v>
      </c>
      <c r="AD24" s="2">
        <f>'Loan Amortization Schedule'!Z378</f>
        <v>0</v>
      </c>
      <c r="AE24" s="2">
        <f>'Loan Amortization Schedule'!AA378</f>
        <v>0</v>
      </c>
      <c r="AF24" s="2">
        <f>'Loan Amortization Schedule'!AB378</f>
        <v>0</v>
      </c>
      <c r="AG24" s="2"/>
    </row>
    <row r="25" spans="1:33" ht="16.25" customHeight="1" x14ac:dyDescent="0.2">
      <c r="B25" s="4" t="s">
        <v>18</v>
      </c>
      <c r="C25" s="4" t="s">
        <v>18</v>
      </c>
      <c r="D25" s="4" t="s">
        <v>18</v>
      </c>
      <c r="E25" s="4" t="s">
        <v>18</v>
      </c>
      <c r="F25" s="4" t="s">
        <v>18</v>
      </c>
      <c r="G25" s="4" t="s">
        <v>18</v>
      </c>
      <c r="H25" s="4" t="s">
        <v>18</v>
      </c>
      <c r="I25" s="4" t="s">
        <v>18</v>
      </c>
      <c r="J25" s="4" t="s">
        <v>18</v>
      </c>
      <c r="K25" s="4" t="s">
        <v>18</v>
      </c>
      <c r="L25" s="4" t="s">
        <v>18</v>
      </c>
      <c r="M25" s="4" t="s">
        <v>18</v>
      </c>
      <c r="N25" s="4" t="s">
        <v>18</v>
      </c>
      <c r="O25" s="4" t="s">
        <v>18</v>
      </c>
      <c r="P25" s="4" t="s">
        <v>18</v>
      </c>
      <c r="Q25" s="4" t="s">
        <v>18</v>
      </c>
      <c r="R25" s="4" t="s">
        <v>18</v>
      </c>
      <c r="S25" s="4" t="s">
        <v>18</v>
      </c>
      <c r="T25" s="4"/>
      <c r="U25" s="4" t="s">
        <v>18</v>
      </c>
      <c r="V25" s="4" t="s">
        <v>18</v>
      </c>
      <c r="W25" s="4" t="s">
        <v>18</v>
      </c>
      <c r="X25" s="4" t="s">
        <v>18</v>
      </c>
      <c r="Y25" s="4" t="s">
        <v>18</v>
      </c>
      <c r="Z25" s="4" t="s">
        <v>18</v>
      </c>
      <c r="AA25" s="4" t="s">
        <v>18</v>
      </c>
      <c r="AB25" s="4" t="s">
        <v>18</v>
      </c>
      <c r="AC25" s="4" t="s">
        <v>18</v>
      </c>
      <c r="AD25" s="4" t="s">
        <v>18</v>
      </c>
      <c r="AE25" s="4" t="s">
        <v>18</v>
      </c>
      <c r="AF25" s="4" t="s">
        <v>18</v>
      </c>
      <c r="AG25" s="4"/>
    </row>
    <row r="26" spans="1:33" s="69" customFormat="1" ht="16.25" customHeight="1" x14ac:dyDescent="0.2">
      <c r="A26" s="61"/>
      <c r="B26" s="70" t="s">
        <v>51</v>
      </c>
      <c r="C26" s="70" t="s">
        <v>3</v>
      </c>
      <c r="D26" s="70" t="s">
        <v>4</v>
      </c>
      <c r="E26" s="70" t="s">
        <v>5</v>
      </c>
      <c r="F26" s="70" t="s">
        <v>6</v>
      </c>
      <c r="G26" s="70" t="s">
        <v>7</v>
      </c>
      <c r="H26" s="70" t="s">
        <v>99</v>
      </c>
      <c r="I26" s="70" t="s">
        <v>100</v>
      </c>
      <c r="J26" s="70" t="s">
        <v>101</v>
      </c>
      <c r="K26" s="70" t="s">
        <v>102</v>
      </c>
      <c r="L26" s="70" t="s">
        <v>8</v>
      </c>
      <c r="M26" s="70" t="s">
        <v>103</v>
      </c>
      <c r="N26" s="70" t="s">
        <v>104</v>
      </c>
      <c r="O26" s="70" t="s">
        <v>105</v>
      </c>
      <c r="P26" s="70" t="s">
        <v>106</v>
      </c>
      <c r="Q26" s="70" t="s">
        <v>107</v>
      </c>
      <c r="R26" s="70" t="s">
        <v>108</v>
      </c>
      <c r="S26" s="70" t="s">
        <v>109</v>
      </c>
      <c r="T26" s="70" t="s">
        <v>110</v>
      </c>
      <c r="U26" s="70" t="s">
        <v>111</v>
      </c>
      <c r="V26" s="70" t="s">
        <v>9</v>
      </c>
      <c r="W26" s="70" t="s">
        <v>112</v>
      </c>
      <c r="X26" s="70" t="s">
        <v>113</v>
      </c>
      <c r="Y26" s="70" t="s">
        <v>114</v>
      </c>
      <c r="Z26" s="70" t="s">
        <v>115</v>
      </c>
      <c r="AA26" s="70" t="s">
        <v>116</v>
      </c>
      <c r="AB26" s="70" t="s">
        <v>117</v>
      </c>
      <c r="AC26" s="70" t="s">
        <v>118</v>
      </c>
      <c r="AD26" s="70" t="s">
        <v>119</v>
      </c>
      <c r="AE26" s="70" t="s">
        <v>120</v>
      </c>
      <c r="AF26" s="70" t="s">
        <v>10</v>
      </c>
      <c r="AG26" s="71"/>
    </row>
    <row r="27" spans="1:33" ht="16.25" customHeight="1" x14ac:dyDescent="0.2">
      <c r="B27" s="2" t="s">
        <v>52</v>
      </c>
      <c r="C27" s="2">
        <f>'1 Year Proforma + 30 year'!H49</f>
        <v>152145</v>
      </c>
      <c r="D27" s="2">
        <f>C27*(1+'1 Year Proforma + 30 year'!$C$56)</f>
        <v>159752.25</v>
      </c>
      <c r="E27" s="2">
        <f>D27*(1+'1 Year Proforma + 30 year'!$C$56)</f>
        <v>167739.86250000002</v>
      </c>
      <c r="F27" s="2">
        <f>E27*(1+'1 Year Proforma + 30 year'!$C$56)</f>
        <v>176126.85562500003</v>
      </c>
      <c r="G27" s="2">
        <f>F27*(1+'1 Year Proforma + 30 year'!$C$56)</f>
        <v>184933.19840625004</v>
      </c>
      <c r="H27" s="2">
        <f>G27*(1+'1 Year Proforma + 30 year'!$C$56)</f>
        <v>194179.85832656256</v>
      </c>
      <c r="I27" s="2">
        <f>H27*(1+'1 Year Proforma + 30 year'!$C$56)</f>
        <v>203888.8512428907</v>
      </c>
      <c r="J27" s="2">
        <f>I27*(1+'1 Year Proforma + 30 year'!$C$56)</f>
        <v>214083.29380503524</v>
      </c>
      <c r="K27" s="2">
        <f>J27*(1+'1 Year Proforma + 30 year'!$C$56)</f>
        <v>224787.45849528702</v>
      </c>
      <c r="L27" s="2">
        <f>K27*(1+'1 Year Proforma + 30 year'!$C$56)</f>
        <v>236026.83142005137</v>
      </c>
      <c r="M27" s="2">
        <f>L27*(1+'1 Year Proforma + 30 year'!$C$56)</f>
        <v>247828.17299105396</v>
      </c>
      <c r="N27" s="2">
        <f>M27*(1+'1 Year Proforma + 30 year'!$C$56)</f>
        <v>260219.58164060666</v>
      </c>
      <c r="O27" s="2">
        <f>N27*(1+'1 Year Proforma + 30 year'!$C$56)</f>
        <v>273230.56072263699</v>
      </c>
      <c r="P27" s="2">
        <f>O27*(1+'1 Year Proforma + 30 year'!$C$56)</f>
        <v>286892.08875876886</v>
      </c>
      <c r="Q27" s="2">
        <f>P27*(1+'1 Year Proforma + 30 year'!$C$56)</f>
        <v>301236.69319670735</v>
      </c>
      <c r="R27" s="2">
        <f>Q27*(1+'1 Year Proforma + 30 year'!$C$56)</f>
        <v>316298.52785654273</v>
      </c>
      <c r="S27" s="2">
        <f>R27*(1+'1 Year Proforma + 30 year'!$C$56)</f>
        <v>332113.45424936985</v>
      </c>
      <c r="T27" s="2">
        <f>S27*(1+'1 Year Proforma + 30 year'!$C$56)</f>
        <v>348719.12696183834</v>
      </c>
      <c r="U27" s="2">
        <f>T27*(1+'1 Year Proforma + 30 year'!$C$56)</f>
        <v>366155.08330993028</v>
      </c>
      <c r="V27" s="2">
        <f>U27*(1+'1 Year Proforma + 30 year'!$C$56)</f>
        <v>384462.83747542679</v>
      </c>
      <c r="W27" s="2">
        <f>V27*(1+'1 Year Proforma + 30 year'!$C$56)</f>
        <v>403685.97934919817</v>
      </c>
      <c r="X27" s="2">
        <f>W27*(1+'1 Year Proforma + 30 year'!$C$56)</f>
        <v>423870.27831665811</v>
      </c>
      <c r="Y27" s="2">
        <f>X27*(1+'1 Year Proforma + 30 year'!$C$56)</f>
        <v>445063.79223249102</v>
      </c>
      <c r="Z27" s="2">
        <f>Y27*(1+'1 Year Proforma + 30 year'!$C$56)</f>
        <v>467316.98184411559</v>
      </c>
      <c r="AA27" s="2">
        <f>Z27*(1+'1 Year Proforma + 30 year'!$C$56)</f>
        <v>490682.83093632141</v>
      </c>
      <c r="AB27" s="2">
        <f>AA27*(1+'1 Year Proforma + 30 year'!$C$56)</f>
        <v>515216.97248313751</v>
      </c>
      <c r="AC27" s="2">
        <f>AB27*(1+'1 Year Proforma + 30 year'!$C$56)</f>
        <v>540977.82110729441</v>
      </c>
      <c r="AD27" s="2">
        <f>AC27*(1+'1 Year Proforma + 30 year'!$C$56)</f>
        <v>568026.71216265915</v>
      </c>
      <c r="AE27" s="2">
        <f>AD27*(1+'1 Year Proforma + 30 year'!$C$56)</f>
        <v>596428.04777079215</v>
      </c>
      <c r="AF27" s="2">
        <f>AE27*(1+'1 Year Proforma + 30 year'!$C$56)</f>
        <v>626249.45015933178</v>
      </c>
      <c r="AG27" s="2"/>
    </row>
    <row r="28" spans="1:33" ht="16.25" customHeight="1" x14ac:dyDescent="0.2">
      <c r="B28" s="2" t="s">
        <v>54</v>
      </c>
      <c r="C28" s="2">
        <f>'Loan Amortization Schedule'!I29</f>
        <v>113438.72630618891</v>
      </c>
      <c r="D28" s="2">
        <f>'Loan Amortization Schedule'!I41</f>
        <v>110885.80522832906</v>
      </c>
      <c r="E28" s="2">
        <f>'Loan Amortization Schedule'!I53</f>
        <v>108259.16793070358</v>
      </c>
      <c r="F28" s="2">
        <f>'Loan Amortization Schedule'!I65</f>
        <v>105556.68583945892</v>
      </c>
      <c r="G28" s="2">
        <f>'Loan Amortization Schedule'!I77</f>
        <v>102776.16891765149</v>
      </c>
      <c r="H28" s="2">
        <f>'Loan Amortization Schedule'!I89</f>
        <v>99915.363890486042</v>
      </c>
      <c r="I28" s="2">
        <f>'Loan Amortization Schedule'!I101</f>
        <v>96971.952419307127</v>
      </c>
      <c r="J28" s="2">
        <f>'Loan Amortization Schedule'!I113</f>
        <v>93943.549222864211</v>
      </c>
      <c r="K28" s="2">
        <f>'Loan Amortization Schedule'!I125</f>
        <v>90827.700144328061</v>
      </c>
      <c r="L28" s="2">
        <f>'Loan Amortization Schedule'!I137</f>
        <v>87621.880162491463</v>
      </c>
      <c r="M28" s="2">
        <f>'Loan Amortization Schedule'!I149</f>
        <v>84323.491345542963</v>
      </c>
      <c r="N28" s="2">
        <f>'Loan Amortization Schedule'!I161</f>
        <v>80929.860745755475</v>
      </c>
      <c r="O28" s="2">
        <f>'Loan Amortization Schedule'!I173</f>
        <v>77438.238233383279</v>
      </c>
      <c r="P28" s="2">
        <f>'Loan Amortization Schedule'!I185</f>
        <v>73845.794268012483</v>
      </c>
      <c r="Q28" s="2">
        <f>'Loan Amortization Schedule'!I197</f>
        <v>70149.617605558509</v>
      </c>
      <c r="R28" s="2">
        <f>'Loan Amortization Schedule'!I209</f>
        <v>66346.712939052639</v>
      </c>
      <c r="S28" s="2">
        <f>'Loan Amortization Schedule'!I221</f>
        <v>62433.998471305727</v>
      </c>
      <c r="T28" s="2">
        <f>'Loan Amortization Schedule'!I233</f>
        <v>58408.303417481977</v>
      </c>
      <c r="U28" s="2">
        <f>'Loan Amortization Schedule'!I245</f>
        <v>54266.365435558851</v>
      </c>
      <c r="V28" s="2">
        <f>'Loan Amortization Schedule'!I257</f>
        <v>50004.827982590985</v>
      </c>
      <c r="W28" s="2">
        <f>'Loan Amortization Schedule'!I269</f>
        <v>45620.23759463551</v>
      </c>
      <c r="X28" s="2">
        <f>'Loan Amortization Schedule'!I281</f>
        <v>41109.041088134567</v>
      </c>
      <c r="Y28" s="2">
        <f>'Loan Amortization Schedule'!I293</f>
        <v>36467.582680487096</v>
      </c>
      <c r="Z28" s="2">
        <f>'Loan Amortization Schedule'!I305</f>
        <v>31692.101027476328</v>
      </c>
      <c r="AA28" s="2">
        <f>'Loan Amortization Schedule'!I317</f>
        <v>26778.726175152435</v>
      </c>
      <c r="AB28" s="2">
        <f>'Loan Amortization Schedule'!I329</f>
        <v>21723.476423699893</v>
      </c>
      <c r="AC28" s="2">
        <f>'Loan Amortization Schedule'!I341</f>
        <v>16522.255100748349</v>
      </c>
      <c r="AD28" s="2">
        <f>'Loan Amortization Schedule'!I353</f>
        <v>11170.84724151197</v>
      </c>
      <c r="AE28" s="2">
        <f>'Loan Amortization Schedule'!I365</f>
        <v>5664.9161730670976</v>
      </c>
      <c r="AF28" s="2">
        <f>'Loan Amortization Schedule'!I377</f>
        <v>0</v>
      </c>
      <c r="AG28" s="2"/>
    </row>
    <row r="29" spans="1:33" s="5" customFormat="1" ht="16.25" customHeight="1" x14ac:dyDescent="0.2">
      <c r="A29" s="1"/>
      <c r="B29" s="6" t="s">
        <v>56</v>
      </c>
      <c r="C29" s="6">
        <f t="shared" ref="C29:AF29" si="6">C27-C28</f>
        <v>38706.27369381109</v>
      </c>
      <c r="D29" s="6">
        <f t="shared" si="6"/>
        <v>48866.44477167094</v>
      </c>
      <c r="E29" s="6">
        <f t="shared" si="6"/>
        <v>59480.694569296436</v>
      </c>
      <c r="F29" s="6">
        <f t="shared" si="6"/>
        <v>70570.169785541104</v>
      </c>
      <c r="G29" s="6">
        <f t="shared" si="6"/>
        <v>82157.02948859855</v>
      </c>
      <c r="H29" s="6">
        <f t="shared" si="6"/>
        <v>94264.494436076522</v>
      </c>
      <c r="I29" s="6">
        <f t="shared" si="6"/>
        <v>106916.89882358357</v>
      </c>
      <c r="J29" s="6">
        <f t="shared" si="6"/>
        <v>120139.74458217103</v>
      </c>
      <c r="K29" s="6">
        <f t="shared" si="6"/>
        <v>133959.75835095896</v>
      </c>
      <c r="L29" s="6">
        <f t="shared" si="6"/>
        <v>148404.95125755991</v>
      </c>
      <c r="M29" s="6">
        <f t="shared" si="6"/>
        <v>163504.68164551101</v>
      </c>
      <c r="N29" s="6">
        <f t="shared" si="6"/>
        <v>179289.7208948512</v>
      </c>
      <c r="O29" s="6">
        <f t="shared" si="6"/>
        <v>195792.32248925371</v>
      </c>
      <c r="P29" s="6">
        <f t="shared" si="6"/>
        <v>213046.29449075638</v>
      </c>
      <c r="Q29" s="6">
        <f t="shared" si="6"/>
        <v>231087.07559114884</v>
      </c>
      <c r="R29" s="6">
        <f t="shared" si="6"/>
        <v>249951.81491749009</v>
      </c>
      <c r="S29" s="6">
        <f t="shared" si="6"/>
        <v>269679.45577806415</v>
      </c>
      <c r="T29" s="6">
        <f t="shared" si="6"/>
        <v>290310.82354435639</v>
      </c>
      <c r="U29" s="6">
        <f t="shared" si="6"/>
        <v>311888.71787437145</v>
      </c>
      <c r="V29" s="6">
        <f t="shared" si="6"/>
        <v>334458.00949283579</v>
      </c>
      <c r="W29" s="6">
        <f t="shared" si="6"/>
        <v>358065.74175456265</v>
      </c>
      <c r="X29" s="6">
        <f t="shared" si="6"/>
        <v>382761.23722852353</v>
      </c>
      <c r="Y29" s="6">
        <f t="shared" si="6"/>
        <v>408596.20955200394</v>
      </c>
      <c r="Z29" s="6">
        <f t="shared" si="6"/>
        <v>435624.88081663928</v>
      </c>
      <c r="AA29" s="6">
        <f t="shared" si="6"/>
        <v>463904.10476116894</v>
      </c>
      <c r="AB29" s="6">
        <f t="shared" si="6"/>
        <v>493493.49605943763</v>
      </c>
      <c r="AC29" s="6">
        <f t="shared" si="6"/>
        <v>524455.56600654603</v>
      </c>
      <c r="AD29" s="6">
        <f t="shared" si="6"/>
        <v>556855.86492114724</v>
      </c>
      <c r="AE29" s="6">
        <f t="shared" si="6"/>
        <v>590763.13159772509</v>
      </c>
      <c r="AF29" s="6">
        <f t="shared" si="6"/>
        <v>626249.45015933178</v>
      </c>
      <c r="AG29" s="62"/>
    </row>
    <row r="30" spans="1:33" ht="16.25" customHeight="1" x14ac:dyDescent="0.2">
      <c r="B30" s="4" t="s">
        <v>18</v>
      </c>
      <c r="C30" s="4">
        <v>29</v>
      </c>
      <c r="D30" s="4">
        <f t="shared" ref="D30:AF30" si="7">C30+12</f>
        <v>41</v>
      </c>
      <c r="E30" s="4">
        <f t="shared" si="7"/>
        <v>53</v>
      </c>
      <c r="F30" s="4">
        <f t="shared" si="7"/>
        <v>65</v>
      </c>
      <c r="G30" s="4">
        <f t="shared" si="7"/>
        <v>77</v>
      </c>
      <c r="H30" s="4">
        <f t="shared" si="7"/>
        <v>89</v>
      </c>
      <c r="I30" s="4">
        <f t="shared" si="7"/>
        <v>101</v>
      </c>
      <c r="J30" s="4">
        <f t="shared" si="7"/>
        <v>113</v>
      </c>
      <c r="K30" s="4">
        <f t="shared" si="7"/>
        <v>125</v>
      </c>
      <c r="L30" s="4">
        <f t="shared" si="7"/>
        <v>137</v>
      </c>
      <c r="M30" s="4">
        <f t="shared" si="7"/>
        <v>149</v>
      </c>
      <c r="N30" s="4">
        <f t="shared" si="7"/>
        <v>161</v>
      </c>
      <c r="O30" s="4">
        <f t="shared" si="7"/>
        <v>173</v>
      </c>
      <c r="P30" s="4">
        <f t="shared" si="7"/>
        <v>185</v>
      </c>
      <c r="Q30" s="4">
        <f t="shared" si="7"/>
        <v>197</v>
      </c>
      <c r="R30" s="4">
        <f t="shared" si="7"/>
        <v>209</v>
      </c>
      <c r="S30" s="4">
        <f t="shared" si="7"/>
        <v>221</v>
      </c>
      <c r="T30" s="4">
        <f t="shared" si="7"/>
        <v>233</v>
      </c>
      <c r="U30" s="4">
        <f t="shared" si="7"/>
        <v>245</v>
      </c>
      <c r="V30" s="4">
        <f t="shared" si="7"/>
        <v>257</v>
      </c>
      <c r="W30" s="4">
        <f t="shared" si="7"/>
        <v>269</v>
      </c>
      <c r="X30" s="4">
        <f t="shared" si="7"/>
        <v>281</v>
      </c>
      <c r="Y30" s="4">
        <f t="shared" si="7"/>
        <v>293</v>
      </c>
      <c r="Z30" s="4">
        <f t="shared" si="7"/>
        <v>305</v>
      </c>
      <c r="AA30" s="4">
        <f t="shared" si="7"/>
        <v>317</v>
      </c>
      <c r="AB30" s="4">
        <f t="shared" si="7"/>
        <v>329</v>
      </c>
      <c r="AC30" s="4">
        <f t="shared" si="7"/>
        <v>341</v>
      </c>
      <c r="AD30" s="4">
        <f t="shared" si="7"/>
        <v>353</v>
      </c>
      <c r="AE30" s="4">
        <f t="shared" si="7"/>
        <v>365</v>
      </c>
      <c r="AF30" s="4">
        <f t="shared" si="7"/>
        <v>377</v>
      </c>
      <c r="AG30" s="4"/>
    </row>
    <row r="31" spans="1:33" s="69" customFormat="1" ht="16.25" customHeight="1" x14ac:dyDescent="0.2">
      <c r="A31" s="61"/>
      <c r="B31" s="70" t="s">
        <v>59</v>
      </c>
      <c r="C31" s="70" t="s">
        <v>3</v>
      </c>
      <c r="D31" s="70" t="s">
        <v>4</v>
      </c>
      <c r="E31" s="70" t="s">
        <v>5</v>
      </c>
      <c r="F31" s="70" t="s">
        <v>6</v>
      </c>
      <c r="G31" s="70" t="s">
        <v>7</v>
      </c>
      <c r="H31" s="70" t="s">
        <v>99</v>
      </c>
      <c r="I31" s="70" t="s">
        <v>100</v>
      </c>
      <c r="J31" s="70" t="s">
        <v>101</v>
      </c>
      <c r="K31" s="70" t="s">
        <v>102</v>
      </c>
      <c r="L31" s="70" t="s">
        <v>8</v>
      </c>
      <c r="M31" s="70" t="s">
        <v>103</v>
      </c>
      <c r="N31" s="70" t="s">
        <v>104</v>
      </c>
      <c r="O31" s="70" t="s">
        <v>105</v>
      </c>
      <c r="P31" s="70" t="s">
        <v>106</v>
      </c>
      <c r="Q31" s="70" t="s">
        <v>107</v>
      </c>
      <c r="R31" s="70" t="s">
        <v>108</v>
      </c>
      <c r="S31" s="70" t="s">
        <v>109</v>
      </c>
      <c r="T31" s="70" t="s">
        <v>110</v>
      </c>
      <c r="U31" s="70" t="s">
        <v>111</v>
      </c>
      <c r="V31" s="70" t="s">
        <v>9</v>
      </c>
      <c r="W31" s="70" t="s">
        <v>112</v>
      </c>
      <c r="X31" s="70" t="s">
        <v>113</v>
      </c>
      <c r="Y31" s="70" t="s">
        <v>114</v>
      </c>
      <c r="Z31" s="70" t="s">
        <v>115</v>
      </c>
      <c r="AA31" s="70" t="s">
        <v>116</v>
      </c>
      <c r="AB31" s="70" t="s">
        <v>117</v>
      </c>
      <c r="AC31" s="70" t="s">
        <v>118</v>
      </c>
      <c r="AD31" s="70" t="s">
        <v>119</v>
      </c>
      <c r="AE31" s="70" t="s">
        <v>120</v>
      </c>
      <c r="AF31" s="70" t="s">
        <v>10</v>
      </c>
      <c r="AG31" s="71"/>
    </row>
    <row r="32" spans="1:33" s="7" customFormat="1" ht="16" customHeight="1" x14ac:dyDescent="0.2">
      <c r="A32" s="1"/>
      <c r="B32" s="67" t="s">
        <v>60</v>
      </c>
      <c r="C32" s="72">
        <f>(C18+C19)/'1 Year Proforma + 30 year'!$C$7</f>
        <v>8.3850931677018639E-2</v>
      </c>
      <c r="D32" s="72">
        <f>(D18+D19)/'1 Year Proforma + 30 year'!$C$7</f>
        <v>8.6366459627329195E-2</v>
      </c>
      <c r="E32" s="72">
        <f>(E18+E19)/'1 Year Proforma + 30 year'!$C$7</f>
        <v>8.8957453416149079E-2</v>
      </c>
      <c r="F32" s="72">
        <f>(F18+F19)/'1 Year Proforma + 30 year'!$C$7</f>
        <v>9.1626177018633556E-2</v>
      </c>
      <c r="G32" s="72">
        <f>(G18+G19)/'1 Year Proforma + 30 year'!$C$7</f>
        <v>9.4374962329192555E-2</v>
      </c>
      <c r="H32" s="72">
        <f>(H18+H19)/'1 Year Proforma + 30 year'!$C$7</f>
        <v>9.7206211199068346E-2</v>
      </c>
      <c r="I32" s="72">
        <f>(I18+I19)/'1 Year Proforma + 30 year'!$C$7</f>
        <v>0.10012239753504037</v>
      </c>
      <c r="J32" s="72">
        <f>(J18+J19)/'1 Year Proforma + 30 year'!$C$7</f>
        <v>0.10312606946109161</v>
      </c>
      <c r="K32" s="72">
        <f>(K18+K19)/'1 Year Proforma + 30 year'!$C$7</f>
        <v>0.10621985154492435</v>
      </c>
      <c r="L32" s="72">
        <f>(L18+L19)/'1 Year Proforma + 30 year'!$C$7</f>
        <v>0.10940644709127208</v>
      </c>
      <c r="M32" s="72">
        <f>(M18+M19)/'1 Year Proforma + 30 year'!$C$7</f>
        <v>0.11268864050401024</v>
      </c>
      <c r="N32" s="72">
        <f>(N18+N19)/'1 Year Proforma + 30 year'!$C$7</f>
        <v>0.11606929971913056</v>
      </c>
      <c r="O32" s="72">
        <f>(O18+O19)/'1 Year Proforma + 30 year'!$C$7</f>
        <v>0.11955137871070445</v>
      </c>
      <c r="P32" s="72">
        <f>(P18+P19)/'1 Year Proforma + 30 year'!$C$7</f>
        <v>0.12313792007202561</v>
      </c>
      <c r="Q32" s="72">
        <f>(Q18+Q19)/'1 Year Proforma + 30 year'!$C$7</f>
        <v>0.12683205767418637</v>
      </c>
      <c r="R32" s="72">
        <f>(R18+R19)/'1 Year Proforma + 30 year'!$C$7</f>
        <v>0.130637019404412</v>
      </c>
      <c r="S32" s="72">
        <f>(S18+S19)/'1 Year Proforma + 30 year'!$C$7</f>
        <v>0.13455612998654434</v>
      </c>
      <c r="T32" s="72">
        <f>(T18+T19)/'1 Year Proforma + 30 year'!$C$7</f>
        <v>0.13859281388614067</v>
      </c>
      <c r="U32" s="72">
        <f>(U18+U19)/'1 Year Proforma + 30 year'!$C$7</f>
        <v>0.14275059830272488</v>
      </c>
      <c r="V32" s="72">
        <f>(V18+V19)/'1 Year Proforma + 30 year'!$C$7</f>
        <v>0.14703311625180665</v>
      </c>
      <c r="W32" s="72">
        <f>(W18+W19)/'1 Year Proforma + 30 year'!$C$7</f>
        <v>0.15144410973936084</v>
      </c>
      <c r="X32" s="72">
        <f>(X18+X19)/'1 Year Proforma + 30 year'!$C$7</f>
        <v>0.15598743303154167</v>
      </c>
      <c r="Y32" s="72">
        <f>(Y18+Y19)/'1 Year Proforma + 30 year'!$C$7</f>
        <v>0.16066705602248793</v>
      </c>
      <c r="Z32" s="72">
        <f>(Z18+Z19)/'1 Year Proforma + 30 year'!$C$7</f>
        <v>0.16548706770316254</v>
      </c>
      <c r="AA32" s="72">
        <f>(AA18+AA19)/'1 Year Proforma + 30 year'!$C$7</f>
        <v>0.1704516797342574</v>
      </c>
      <c r="AB32" s="72">
        <f>(AB18+AB19)/'1 Year Proforma + 30 year'!$C$7</f>
        <v>0.17556523012628517</v>
      </c>
      <c r="AC32" s="72">
        <f>(AC18+AC19)/'1 Year Proforma + 30 year'!$C$7</f>
        <v>0.1808321870300737</v>
      </c>
      <c r="AD32" s="72">
        <f>(AD18+AD19)/'1 Year Proforma + 30 year'!$C$7</f>
        <v>0.18625715264097592</v>
      </c>
      <c r="AE32" s="72">
        <f>(AE18+AE19)/'1 Year Proforma + 30 year'!$C$7</f>
        <v>0.19184486722020519</v>
      </c>
      <c r="AF32" s="72">
        <f>(AF18+AF19)/'1 Year Proforma + 30 year'!$C$7</f>
        <v>0.1976002132368114</v>
      </c>
      <c r="AG32" s="73"/>
    </row>
    <row r="33" spans="1:33" s="7" customFormat="1" ht="16.25" customHeight="1" x14ac:dyDescent="0.2">
      <c r="A33" s="1"/>
      <c r="B33" s="67" t="s">
        <v>62</v>
      </c>
      <c r="C33" s="72">
        <f>C19/'1 Year Proforma + 30 year'!$C$12</f>
        <v>0.19195401203043957</v>
      </c>
      <c r="D33" s="72">
        <f>D19/'1 Year Proforma + 30 year'!$C$12</f>
        <v>0.20289109007526809</v>
      </c>
      <c r="E33" s="72">
        <f>E19/'1 Year Proforma + 30 year'!$C$12</f>
        <v>0.2141562804614415</v>
      </c>
      <c r="F33" s="72">
        <f>F19/'1 Year Proforma + 30 year'!$C$12</f>
        <v>0.22575942655920012</v>
      </c>
      <c r="G33" s="72">
        <f>G19/'1 Year Proforma + 30 year'!$C$12</f>
        <v>0.23771066703989144</v>
      </c>
      <c r="H33" s="72">
        <f>H19/'1 Year Proforma + 30 year'!$C$12</f>
        <v>0.25002044473500351</v>
      </c>
      <c r="I33" s="72">
        <f>I19/'1 Year Proforma + 30 year'!$C$12</f>
        <v>0.26269951576096889</v>
      </c>
      <c r="J33" s="72">
        <f>J19/'1 Year Proforma + 30 year'!$C$12</f>
        <v>0.27575895891771335</v>
      </c>
      <c r="K33" s="72">
        <f>K19/'1 Year Proforma + 30 year'!$C$12</f>
        <v>0.28921018536916004</v>
      </c>
      <c r="L33" s="72">
        <f>L19/'1 Year Proforma + 30 year'!$C$12</f>
        <v>0.30306494861415018</v>
      </c>
      <c r="M33" s="72">
        <f>M19/'1 Year Proforma + 30 year'!$C$12</f>
        <v>0.31733535475649005</v>
      </c>
      <c r="N33" s="72">
        <f>N19/'1 Year Proforma + 30 year'!$C$12</f>
        <v>0.33203387308310012</v>
      </c>
      <c r="O33" s="72">
        <f>O19/'1 Year Proforma + 30 year'!$C$12</f>
        <v>0.34717334695950836</v>
      </c>
      <c r="P33" s="72">
        <f>P19/'1 Year Proforma + 30 year'!$C$12</f>
        <v>0.36276700505220899</v>
      </c>
      <c r="Q33" s="72">
        <f>Q19/'1 Year Proforma + 30 year'!$C$12</f>
        <v>0.37882847288769061</v>
      </c>
      <c r="R33" s="72">
        <f>R19/'1 Year Proforma + 30 year'!$C$12</f>
        <v>0.39537178475823676</v>
      </c>
      <c r="S33" s="72">
        <f>S19/'1 Year Proforma + 30 year'!$C$12</f>
        <v>0.41241139598489912</v>
      </c>
      <c r="T33" s="72">
        <f>T19/'1 Year Proforma + 30 year'!$C$12</f>
        <v>0.42996219554836146</v>
      </c>
      <c r="U33" s="72">
        <f>U19/'1 Year Proforma + 30 year'!$C$12</f>
        <v>0.44803951909872763</v>
      </c>
      <c r="V33" s="72">
        <f>V19/'1 Year Proforma + 30 year'!$C$12</f>
        <v>0.46665916235560484</v>
      </c>
      <c r="W33" s="72">
        <f>W19/'1 Year Proforma + 30 year'!$C$12</f>
        <v>0.48583739491018829</v>
      </c>
      <c r="X33" s="72">
        <f>X19/'1 Year Proforma + 30 year'!$C$12</f>
        <v>0.50559097444140932</v>
      </c>
      <c r="Y33" s="72">
        <f>Y19/'1 Year Proforma + 30 year'!$C$12</f>
        <v>0.52593716135856705</v>
      </c>
      <c r="Z33" s="72">
        <f>Z19/'1 Year Proforma + 30 year'!$C$12</f>
        <v>0.54689373388323925</v>
      </c>
      <c r="AA33" s="72">
        <f>AA19/'1 Year Proforma + 30 year'!$C$12</f>
        <v>0.56847900358365167</v>
      </c>
      <c r="AB33" s="72">
        <f>AB19/'1 Year Proforma + 30 year'!$C$12</f>
        <v>0.59071183137507677</v>
      </c>
      <c r="AC33" s="72">
        <f>AC19/'1 Year Proforma + 30 year'!$C$12</f>
        <v>0.61361164400024426</v>
      </c>
      <c r="AD33" s="72">
        <f>AD19/'1 Year Proforma + 30 year'!$C$12</f>
        <v>0.63719845100416694</v>
      </c>
      <c r="AE33" s="72">
        <f>AE19/'1 Year Proforma + 30 year'!$C$12</f>
        <v>0.66149286221820724</v>
      </c>
      <c r="AF33" s="72">
        <f>AF19/'1 Year Proforma + 30 year'!$C$12</f>
        <v>0.68651610576866906</v>
      </c>
      <c r="AG33" s="73"/>
    </row>
    <row r="34" spans="1:33" s="7" customFormat="1" ht="16.25" customHeight="1" x14ac:dyDescent="0.2">
      <c r="A34" s="1"/>
      <c r="B34" s="67" t="s">
        <v>63</v>
      </c>
      <c r="C34" s="72">
        <f>(C19+C23*'1 Year Proforma + 30 year'!$C$58+C24*'1 Year Proforma + 30 year'!$C$58+C29-'1 Year Proforma + 30 year'!$C$12)/'1 Year Proforma + 30 year'!$C$12</f>
        <v>0.41626352211768347</v>
      </c>
      <c r="D34" s="72">
        <f>(D19+D23*'1 Year Proforma + 30 year'!$C$58+D24*'1 Year Proforma + 30 year'!$C$58+D29-'1 Year Proforma + 30 year'!$C$12)/'1 Year Proforma + 30 year'!$C$12</f>
        <v>0.73146170408204259</v>
      </c>
      <c r="E34" s="72">
        <f>(E19+E23*'1 Year Proforma + 30 year'!$C$58+E24*'1 Year Proforma + 30 year'!$C$58+E29-'1 Year Proforma + 30 year'!$C$12)/'1 Year Proforma + 30 year'!$C$12</f>
        <v>1.0605955671987686</v>
      </c>
      <c r="F34" s="72">
        <f>(F19+F23*'1 Year Proforma + 30 year'!$C$58+F24*'1 Year Proforma + 30 year'!$C$58+F29-'1 Year Proforma + 30 year'!$C$12)/'1 Year Proforma + 30 year'!$C$12</f>
        <v>1.4043089744670885</v>
      </c>
      <c r="G34" s="72">
        <f>(G19+G23*'1 Year Proforma + 30 year'!$C$58+G24*'1 Year Proforma + 30 year'!$C$58+G29-'1 Year Proforma + 30 year'!$C$12)/'1 Year Proforma + 30 year'!$C$12</f>
        <v>1.7632764465467798</v>
      </c>
      <c r="H34" s="72">
        <f>(H19+H23*'1 Year Proforma + 30 year'!$C$58+H24*'1 Year Proforma + 30 year'!$C$58+H29-'1 Year Proforma + 30 year'!$C$12)/'1 Year Proforma + 30 year'!$C$12</f>
        <v>2.138204650082133</v>
      </c>
      <c r="I34" s="72">
        <f>(I19+I23*'1 Year Proforma + 30 year'!$C$58+I24*'1 Year Proforma + 30 year'!$C$58+I29-'1 Year Proforma + 30 year'!$C$12)/'1 Year Proforma + 30 year'!$C$12</f>
        <v>2.5298339591488244</v>
      </c>
      <c r="J34" s="72">
        <f>(J19+J23*'1 Year Proforma + 30 year'!$C$58+J24*'1 Year Proforma + 30 year'!$C$58+J29-'1 Year Proforma + 30 year'!$C$12)/'1 Year Proforma + 30 year'!$C$12</f>
        <v>2.9389400934422913</v>
      </c>
      <c r="K34" s="72">
        <f>(K19+K23*'1 Year Proforma + 30 year'!$C$58+K24*'1 Year Proforma + 30 year'!$C$58+K29-'1 Year Proforma + 30 year'!$C$12)/'1 Year Proforma + 30 year'!$C$12</f>
        <v>3.3663358370060448</v>
      </c>
      <c r="L34" s="72">
        <f>(L19+L23*'1 Year Proforma + 30 year'!$C$58+L24*'1 Year Proforma + 30 year'!$C$58+L29-'1 Year Proforma + 30 year'!$C$12)/'1 Year Proforma + 30 year'!$C$12</f>
        <v>3.8128728414871738</v>
      </c>
      <c r="M34" s="72">
        <f>(M19+M23*'1 Year Proforma + 30 year'!$C$58+M24*'1 Year Proforma + 30 year'!$C$58+M29-'1 Year Proforma + 30 year'!$C$12)/'1 Year Proforma + 30 year'!$C$12</f>
        <v>4.2794435181044967</v>
      </c>
      <c r="N34" s="72">
        <f>(N19+N23*'1 Year Proforma + 30 year'!$C$58+N24*'1 Year Proforma + 30 year'!$C$58+N29-'1 Year Proforma + 30 year'!$C$12)/'1 Year Proforma + 30 year'!$C$12</f>
        <v>4.7669830227228607</v>
      </c>
      <c r="O34" s="72">
        <f>(O19+O23*'1 Year Proforma + 30 year'!$C$58+O24*'1 Year Proforma + 30 year'!$C$58+O29-'1 Year Proforma + 30 year'!$C$12)/'1 Year Proforma + 30 year'!$C$12</f>
        <v>5.2764713386456217</v>
      </c>
      <c r="P34" s="72">
        <f>(P19+P23*'1 Year Proforma + 30 year'!$C$58+P24*'1 Year Proforma + 30 year'!$C$58+P29-'1 Year Proforma + 30 year'!$C$12)/'1 Year Proforma + 30 year'!$C$12</f>
        <v>5.808935461966608</v>
      </c>
      <c r="Q34" s="72">
        <f>(Q19+Q23*'1 Year Proforma + 30 year'!$C$58+Q24*'1 Year Proforma + 30 year'!$C$58+Q29-'1 Year Proforma + 30 year'!$C$12)/'1 Year Proforma + 30 year'!$C$12</f>
        <v>6.3654516945636681</v>
      </c>
      <c r="R34" s="72">
        <f>(R19+R23*'1 Year Proforma + 30 year'!$C$58+R24*'1 Year Proforma + 30 year'!$C$58+R29-'1 Year Proforma + 30 year'!$C$12)/'1 Year Proforma + 30 year'!$C$12</f>
        <v>6.9471480500687068</v>
      </c>
      <c r="S34" s="72">
        <f>(S19+S23*'1 Year Proforma + 30 year'!$C$58+S24*'1 Year Proforma + 30 year'!$C$58+S29-'1 Year Proforma + 30 year'!$C$12)/'1 Year Proforma + 30 year'!$C$12</f>
        <v>7.5552067784144183</v>
      </c>
      <c r="T34" s="72">
        <f>(T19+T23*'1 Year Proforma + 30 year'!$C$58+T24*'1 Year Proforma + 30 year'!$C$58+T29-'1 Year Proforma + 30 year'!$C$12)/'1 Year Proforma + 30 year'!$C$12</f>
        <v>8.1908670148366074</v>
      </c>
      <c r="U34" s="72">
        <f>(U19+U23*'1 Year Proforma + 30 year'!$C$58+U24*'1 Year Proforma + 30 year'!$C$58+U29-'1 Year Proforma + 30 year'!$C$12)/'1 Year Proforma + 30 year'!$C$12</f>
        <v>8.8418941786242709</v>
      </c>
      <c r="V34" s="72">
        <f>(V19+V23*'1 Year Proforma + 30 year'!$C$58+V24*'1 Year Proforma + 30 year'!$C$58+V29-'1 Year Proforma + 30 year'!$C$12)/'1 Year Proforma + 30 year'!$C$12</f>
        <v>9.5377212398444922</v>
      </c>
      <c r="W34" s="72">
        <f>(W19+W23*'1 Year Proforma + 30 year'!$C$58+W24*'1 Year Proforma + 30 year'!$C$58+W29-'1 Year Proforma + 30 year'!$C$12)/'1 Year Proforma + 30 year'!$C$12</f>
        <v>10.265266029896805</v>
      </c>
      <c r="X34" s="72">
        <f>(X19+X23*'1 Year Proforma + 30 year'!$C$58+X24*'1 Year Proforma + 30 year'!$C$58+X29-'1 Year Proforma + 30 year'!$C$12)/'1 Year Proforma + 30 year'!$C$12</f>
        <v>11.02602526472136</v>
      </c>
      <c r="Y34" s="72">
        <f>(Y19+Y23*'1 Year Proforma + 30 year'!$C$58+Y24*'1 Year Proforma + 30 year'!$C$58+Y29-'1 Year Proforma + 30 year'!$C$12)/'1 Year Proforma + 30 year'!$C$12</f>
        <v>11.821567908669765</v>
      </c>
      <c r="Z34" s="72">
        <f>(Z19+Z23*'1 Year Proforma + 30 year'!$C$58+Z24*'1 Year Proforma + 30 year'!$C$58+Z29-'1 Year Proforma + 30 year'!$C$12)/'1 Year Proforma + 30 year'!$C$12</f>
        <v>12.653538711837321</v>
      </c>
      <c r="AA34" s="72">
        <f>(AA19+AA23*'1 Year Proforma + 30 year'!$C$58+AA24*'1 Year Proforma + 30 year'!$C$58+AA29-'1 Year Proforma + 30 year'!$C$12)/'1 Year Proforma + 30 year'!$C$12</f>
        <v>13.523661922082326</v>
      </c>
      <c r="AB34" s="72">
        <f>(AB19+AB23*'1 Year Proforma + 30 year'!$C$58+AB24*'1 Year Proforma + 30 year'!$C$58+AB29-'1 Year Proforma + 30 year'!$C$12)/'1 Year Proforma + 30 year'!$C$12</f>
        <v>14.433745180403612</v>
      </c>
      <c r="AC34" s="72">
        <f>(AC19+AC23*'1 Year Proforma + 30 year'!$C$58+AC24*'1 Year Proforma + 30 year'!$C$58+AC29-'1 Year Proforma + 30 year'!$C$12)/'1 Year Proforma + 30 year'!$C$12</f>
        <v>15.385683608779024</v>
      </c>
      <c r="AD34" s="72">
        <f>(AD19+AD23*'1 Year Proforma + 30 year'!$C$58+AD24*'1 Year Proforma + 30 year'!$C$58+AD29-'1 Year Proforma + 30 year'!$C$12)/'1 Year Proforma + 30 year'!$C$12</f>
        <v>16.381464100020988</v>
      </c>
      <c r="AE34" s="72">
        <f>(AE19+AE23*'1 Year Proforma + 30 year'!$C$58+AE24*'1 Year Proforma + 30 year'!$C$58+AE29-'1 Year Proforma + 30 year'!$C$12)/'1 Year Proforma + 30 year'!$C$12</f>
        <v>17.423169819680968</v>
      </c>
      <c r="AF34" s="72">
        <f>(AF19+AF23*'1 Year Proforma + 30 year'!$C$58+AF24*'1 Year Proforma + 30 year'!$C$58+AF29-'1 Year Proforma + 30 year'!$C$12)/'1 Year Proforma + 30 year'!$C$12</f>
        <v>18.512984930534419</v>
      </c>
      <c r="AG34" s="73"/>
    </row>
    <row r="35" spans="1:33" s="7" customFormat="1" ht="16.25" customHeight="1" x14ac:dyDescent="0.2">
      <c r="A35" s="1"/>
      <c r="B35" s="67" t="s">
        <v>65</v>
      </c>
      <c r="C35" s="72">
        <f>((C19+C23*'1 Year Proforma + 30 year'!$C$58+C24*'1 Year Proforma + 30 year'!$C$58+C29-'1 Year Proforma + 30 year'!$C$12)-('1 Year Proforma + 30 year'!$C$57*'1 Year Proforma + 30 year'!$C$6))/'1 Year Proforma + 30 year'!$C$12</f>
        <v>0.19887221776985736</v>
      </c>
      <c r="D35" s="72">
        <f>((D19+D23*'1 Year Proforma + 30 year'!$C$58+D24*'1 Year Proforma + 30 year'!$C$58+D29-'1 Year Proforma + 30 year'!$C$12)-('1 Year Proforma + 30 year'!$C$57*'1 Year Proforma + 30 year'!$C$6))/'1 Year Proforma + 30 year'!$C$12</f>
        <v>0.51407039973421653</v>
      </c>
      <c r="E35" s="72">
        <f>((E19+E23*'1 Year Proforma + 30 year'!$C$58+E24*'1 Year Proforma + 30 year'!$C$58+E29-'1 Year Proforma + 30 year'!$C$12)-('1 Year Proforma + 30 year'!$C$57*'1 Year Proforma + 30 year'!$C$6))/'1 Year Proforma + 30 year'!$C$12</f>
        <v>0.84320426285094241</v>
      </c>
      <c r="F35" s="72">
        <f>((F19+F23*'1 Year Proforma + 30 year'!$C$58+F24*'1 Year Proforma + 30 year'!$C$58+F29-'1 Year Proforma + 30 year'!$C$12)-('1 Year Proforma + 30 year'!$C$57*'1 Year Proforma + 30 year'!$C$6))/'1 Year Proforma + 30 year'!$C$12</f>
        <v>1.1869176701192625</v>
      </c>
      <c r="G35" s="72">
        <f>((G19+G23*'1 Year Proforma + 30 year'!$C$58+G24*'1 Year Proforma + 30 year'!$C$58+G29-'1 Year Proforma + 30 year'!$C$12)-('1 Year Proforma + 30 year'!$C$57*'1 Year Proforma + 30 year'!$C$6))/'1 Year Proforma + 30 year'!$C$12</f>
        <v>1.5458851421989537</v>
      </c>
      <c r="H35" s="72">
        <f>((H19+H23*'1 Year Proforma + 30 year'!$C$58+H24*'1 Year Proforma + 30 year'!$C$58+H29-'1 Year Proforma + 30 year'!$C$12)-('1 Year Proforma + 30 year'!$C$57*'1 Year Proforma + 30 year'!$C$6))/'1 Year Proforma + 30 year'!$C$12</f>
        <v>1.9208133457343071</v>
      </c>
      <c r="I35" s="72">
        <f>((I19+I23*'1 Year Proforma + 30 year'!$C$58+I24*'1 Year Proforma + 30 year'!$C$58+I29-'1 Year Proforma + 30 year'!$C$12)-('1 Year Proforma + 30 year'!$C$57*'1 Year Proforma + 30 year'!$C$6))/'1 Year Proforma + 30 year'!$C$12</f>
        <v>2.3124426548009982</v>
      </c>
      <c r="J35" s="72">
        <f>((J19+J23*'1 Year Proforma + 30 year'!$C$58+J24*'1 Year Proforma + 30 year'!$C$58+J29-'1 Year Proforma + 30 year'!$C$12)-('1 Year Proforma + 30 year'!$C$57*'1 Year Proforma + 30 year'!$C$6))/'1 Year Proforma + 30 year'!$C$12</f>
        <v>2.7215487890944652</v>
      </c>
      <c r="K35" s="72">
        <f>((K19+K23*'1 Year Proforma + 30 year'!$C$58+K24*'1 Year Proforma + 30 year'!$C$58+K29-'1 Year Proforma + 30 year'!$C$12)-('1 Year Proforma + 30 year'!$C$57*'1 Year Proforma + 30 year'!$C$6))/'1 Year Proforma + 30 year'!$C$12</f>
        <v>3.1489445326582186</v>
      </c>
      <c r="L35" s="72">
        <f>((L19+L23*'1 Year Proforma + 30 year'!$C$58+L24*'1 Year Proforma + 30 year'!$C$58+L29-'1 Year Proforma + 30 year'!$C$12)-('1 Year Proforma + 30 year'!$C$57*'1 Year Proforma + 30 year'!$C$6))/'1 Year Proforma + 30 year'!$C$12</f>
        <v>3.5954815371393476</v>
      </c>
      <c r="M35" s="72">
        <f>((M19+M23*'1 Year Proforma + 30 year'!$C$58+M24*'1 Year Proforma + 30 year'!$C$58+M29-'1 Year Proforma + 30 year'!$C$12)-('1 Year Proforma + 30 year'!$C$57*'1 Year Proforma + 30 year'!$C$6))/'1 Year Proforma + 30 year'!$C$12</f>
        <v>4.0620522137566715</v>
      </c>
      <c r="N35" s="72">
        <f>((N19+N23*'1 Year Proforma + 30 year'!$C$58+N24*'1 Year Proforma + 30 year'!$C$58+N29-'1 Year Proforma + 30 year'!$C$12)-('1 Year Proforma + 30 year'!$C$57*'1 Year Proforma + 30 year'!$C$6))/'1 Year Proforma + 30 year'!$C$12</f>
        <v>4.5495917183750345</v>
      </c>
      <c r="O35" s="72">
        <f>((O19+O23*'1 Year Proforma + 30 year'!$C$58+O24*'1 Year Proforma + 30 year'!$C$58+O29-'1 Year Proforma + 30 year'!$C$12)-('1 Year Proforma + 30 year'!$C$57*'1 Year Proforma + 30 year'!$C$6))/'1 Year Proforma + 30 year'!$C$12</f>
        <v>5.0590800342977955</v>
      </c>
      <c r="P35" s="72">
        <f>((P19+P23*'1 Year Proforma + 30 year'!$C$58+P24*'1 Year Proforma + 30 year'!$C$58+P29-'1 Year Proforma + 30 year'!$C$12)-('1 Year Proforma + 30 year'!$C$57*'1 Year Proforma + 30 year'!$C$6))/'1 Year Proforma + 30 year'!$C$12</f>
        <v>5.5915441576187819</v>
      </c>
      <c r="Q35" s="72">
        <f>((Q19+Q23*'1 Year Proforma + 30 year'!$C$58+Q24*'1 Year Proforma + 30 year'!$C$58+Q29-'1 Year Proforma + 30 year'!$C$12)-('1 Year Proforma + 30 year'!$C$57*'1 Year Proforma + 30 year'!$C$6))/'1 Year Proforma + 30 year'!$C$12</f>
        <v>6.1480603902158419</v>
      </c>
      <c r="R35" s="72">
        <f>((R19+R23*'1 Year Proforma + 30 year'!$C$58+R24*'1 Year Proforma + 30 year'!$C$58+R29-'1 Year Proforma + 30 year'!$C$12)-('1 Year Proforma + 30 year'!$C$57*'1 Year Proforma + 30 year'!$C$6))/'1 Year Proforma + 30 year'!$C$12</f>
        <v>6.7297567457208807</v>
      </c>
      <c r="S35" s="72">
        <f>((S19+S23*'1 Year Proforma + 30 year'!$C$58+S24*'1 Year Proforma + 30 year'!$C$58+S29-'1 Year Proforma + 30 year'!$C$12)-('1 Year Proforma + 30 year'!$C$57*'1 Year Proforma + 30 year'!$C$6))/'1 Year Proforma + 30 year'!$C$12</f>
        <v>7.3378154740665922</v>
      </c>
      <c r="T35" s="72">
        <f>((T19+T23*'1 Year Proforma + 30 year'!$C$58+T24*'1 Year Proforma + 30 year'!$C$58+T29-'1 Year Proforma + 30 year'!$C$12)-('1 Year Proforma + 30 year'!$C$57*'1 Year Proforma + 30 year'!$C$6))/'1 Year Proforma + 30 year'!$C$12</f>
        <v>7.9734757104887803</v>
      </c>
      <c r="U35" s="72">
        <f>((U19+U23*'1 Year Proforma + 30 year'!$C$58+U24*'1 Year Proforma + 30 year'!$C$58+U29-'1 Year Proforma + 30 year'!$C$12)-('1 Year Proforma + 30 year'!$C$57*'1 Year Proforma + 30 year'!$C$6))/'1 Year Proforma + 30 year'!$C$12</f>
        <v>8.6245028742764447</v>
      </c>
      <c r="V35" s="72">
        <f>((V19+V23*'1 Year Proforma + 30 year'!$C$58+V24*'1 Year Proforma + 30 year'!$C$58+V29-'1 Year Proforma + 30 year'!$C$12)-('1 Year Proforma + 30 year'!$C$57*'1 Year Proforma + 30 year'!$C$6))/'1 Year Proforma + 30 year'!$C$12</f>
        <v>9.320329935496666</v>
      </c>
      <c r="W35" s="72">
        <f>((W19+W23*'1 Year Proforma + 30 year'!$C$58+W24*'1 Year Proforma + 30 year'!$C$58+W29-'1 Year Proforma + 30 year'!$C$12)-('1 Year Proforma + 30 year'!$C$57*'1 Year Proforma + 30 year'!$C$6))/'1 Year Proforma + 30 year'!$C$12</f>
        <v>10.047874725548979</v>
      </c>
      <c r="X35" s="72">
        <f>((X19+X23*'1 Year Proforma + 30 year'!$C$58+X24*'1 Year Proforma + 30 year'!$C$58+X29-'1 Year Proforma + 30 year'!$C$12)-('1 Year Proforma + 30 year'!$C$57*'1 Year Proforma + 30 year'!$C$6))/'1 Year Proforma + 30 year'!$C$12</f>
        <v>10.808633960373534</v>
      </c>
      <c r="Y35" s="72">
        <f>((Y19+Y23*'1 Year Proforma + 30 year'!$C$58+Y24*'1 Year Proforma + 30 year'!$C$58+Y29-'1 Year Proforma + 30 year'!$C$12)-('1 Year Proforma + 30 year'!$C$57*'1 Year Proforma + 30 year'!$C$6))/'1 Year Proforma + 30 year'!$C$12</f>
        <v>11.604176604321939</v>
      </c>
      <c r="Z35" s="72">
        <f>((Z19+Z23*'1 Year Proforma + 30 year'!$C$58+Z24*'1 Year Proforma + 30 year'!$C$58+Z29-'1 Year Proforma + 30 year'!$C$12)-('1 Year Proforma + 30 year'!$C$57*'1 Year Proforma + 30 year'!$C$6))/'1 Year Proforma + 30 year'!$C$12</f>
        <v>12.436147407489495</v>
      </c>
      <c r="AA35" s="72">
        <f>((AA19+AA23*'1 Year Proforma + 30 year'!$C$58+AA24*'1 Year Proforma + 30 year'!$C$58+AA29-'1 Year Proforma + 30 year'!$C$12)-('1 Year Proforma + 30 year'!$C$57*'1 Year Proforma + 30 year'!$C$6))/'1 Year Proforma + 30 year'!$C$12</f>
        <v>13.3062706177345</v>
      </c>
      <c r="AB35" s="72">
        <f>((AB19+AB23*'1 Year Proforma + 30 year'!$C$58+AB24*'1 Year Proforma + 30 year'!$C$58+AB29-'1 Year Proforma + 30 year'!$C$12)-('1 Year Proforma + 30 year'!$C$57*'1 Year Proforma + 30 year'!$C$6))/'1 Year Proforma + 30 year'!$C$12</f>
        <v>14.216353876055786</v>
      </c>
      <c r="AC35" s="72">
        <f>((AC19+AC23*'1 Year Proforma + 30 year'!$C$58+AC24*'1 Year Proforma + 30 year'!$C$58+AC29-'1 Year Proforma + 30 year'!$C$12)-('1 Year Proforma + 30 year'!$C$57*'1 Year Proforma + 30 year'!$C$6))/'1 Year Proforma + 30 year'!$C$12</f>
        <v>15.168292304431198</v>
      </c>
      <c r="AD35" s="72">
        <f>((AD19+AD23*'1 Year Proforma + 30 year'!$C$58+AD24*'1 Year Proforma + 30 year'!$C$58+AD29-'1 Year Proforma + 30 year'!$C$12)-('1 Year Proforma + 30 year'!$C$57*'1 Year Proforma + 30 year'!$C$6))/'1 Year Proforma + 30 year'!$C$12</f>
        <v>16.16407279567316</v>
      </c>
      <c r="AE35" s="72">
        <f>((AE19+AE23*'1 Year Proforma + 30 year'!$C$58+AE24*'1 Year Proforma + 30 year'!$C$58+AE29-'1 Year Proforma + 30 year'!$C$12)-('1 Year Proforma + 30 year'!$C$57*'1 Year Proforma + 30 year'!$C$6))/'1 Year Proforma + 30 year'!$C$12</f>
        <v>17.205778515333144</v>
      </c>
      <c r="AF35" s="72">
        <f>((AF19+AF23*'1 Year Proforma + 30 year'!$C$58+AF24*'1 Year Proforma + 30 year'!$C$58+AF29-'1 Year Proforma + 30 year'!$C$12)-('1 Year Proforma + 30 year'!$C$57*'1 Year Proforma + 30 year'!$C$6))/'1 Year Proforma + 30 year'!$C$12</f>
        <v>18.295593626186594</v>
      </c>
      <c r="AG35" s="73"/>
    </row>
    <row r="36" spans="1:33" s="7" customFormat="1" ht="16.25" customHeight="1" x14ac:dyDescent="0.2">
      <c r="A36" s="1"/>
      <c r="B36" s="67" t="s">
        <v>121</v>
      </c>
      <c r="C36" s="72">
        <f>IRR(B41:C41)</f>
        <v>0.12510202096646994</v>
      </c>
      <c r="D36" s="72">
        <f>IRR(B42:D42)</f>
        <v>0.29543550781224326</v>
      </c>
      <c r="E36" s="72">
        <f>IRR(B43:E43)</f>
        <v>0.33087331440992584</v>
      </c>
      <c r="F36" s="72">
        <f>IRR(B44:F44)</f>
        <v>0.33589198031571943</v>
      </c>
      <c r="G36" s="72">
        <f>IRR(B45:G45)</f>
        <v>0.33174080158186015</v>
      </c>
      <c r="H36" s="72" t="e">
        <f>IRR(B46:H46)</f>
        <v>#VALUE!</v>
      </c>
      <c r="I36" s="72">
        <f>IRR(B47:I47)</f>
        <v>0.31698965894888542</v>
      </c>
      <c r="J36" s="72">
        <f>IRR(B48:J48)</f>
        <v>0.30945257694386208</v>
      </c>
      <c r="K36" s="72">
        <f>IRR(B49:K49)</f>
        <v>0.30241130522931248</v>
      </c>
      <c r="L36" s="72">
        <f>IRR(B50:L50)</f>
        <v>0.29597005324822923</v>
      </c>
      <c r="M36" s="72">
        <f>IRR(B51:M51)</f>
        <v>0.29014003592428828</v>
      </c>
      <c r="N36" s="72">
        <f>IRR(B52:N52)</f>
        <v>0.28489306388280777</v>
      </c>
      <c r="O36" s="72">
        <f>IRR(B53:O53)</f>
        <v>0.28018568709304814</v>
      </c>
      <c r="P36" s="72">
        <f>IRR(B54:P54)</f>
        <v>0.2759702726990676</v>
      </c>
      <c r="Q36" s="72">
        <f>IRR(B55:Q55)</f>
        <v>0.27220002781500141</v>
      </c>
      <c r="R36" s="72">
        <f>IRR(B56:R56)</f>
        <v>0.26883113822177429</v>
      </c>
      <c r="S36" s="72">
        <f>IRR(B57:S57)</f>
        <v>0.26582351913846258</v>
      </c>
      <c r="T36" s="72">
        <f>IRR(B58:T58)</f>
        <v>0.26314090626959064</v>
      </c>
      <c r="U36" s="72">
        <f>IRR(B59:U59)</f>
        <v>0.26075064871513032</v>
      </c>
      <c r="V36" s="72">
        <f>IRR(B60:V60)</f>
        <v>0.25862338465815382</v>
      </c>
      <c r="W36" s="72">
        <f>IRR(B61:W61)</f>
        <v>0.25673268948568362</v>
      </c>
      <c r="X36" s="72">
        <f>IRR(B62:X62)</f>
        <v>0.25505473912746379</v>
      </c>
      <c r="Y36" s="72">
        <f>IRR(B63:Y63)</f>
        <v>0.25356800707817362</v>
      </c>
      <c r="Z36" s="72">
        <f>IRR(B64:Z64)</f>
        <v>0.25225300097310144</v>
      </c>
      <c r="AA36" s="72">
        <f>IRR(B65:AA65)</f>
        <v>0.25109203817486092</v>
      </c>
      <c r="AB36" s="72">
        <f>IRR(B66:AB66)</f>
        <v>0.25006905672961</v>
      </c>
      <c r="AC36" s="72">
        <f>IRR(B67:AC67)</f>
        <v>0.24916945675102542</v>
      </c>
      <c r="AD36" s="72">
        <f>IRR(B68:AD68)</f>
        <v>0.24837996697851739</v>
      </c>
      <c r="AE36" s="72">
        <f>IRR(B69:AE69)</f>
        <v>0.24768853148984404</v>
      </c>
      <c r="AF36" s="72">
        <f>IRR(B70:AF70)</f>
        <v>0.24708421207679709</v>
      </c>
      <c r="AG36" s="68"/>
    </row>
    <row r="38" spans="1:33" x14ac:dyDescent="0.2">
      <c r="A38" s="63"/>
      <c r="B38" s="64" t="s">
        <v>122</v>
      </c>
      <c r="C38" s="65">
        <f t="shared" ref="C38:AF38" si="8">C19</f>
        <v>6397.2513589384598</v>
      </c>
      <c r="D38" s="65">
        <f t="shared" si="8"/>
        <v>6761.7513589384598</v>
      </c>
      <c r="E38" s="65">
        <f t="shared" si="8"/>
        <v>7137.1863589384611</v>
      </c>
      <c r="F38" s="65">
        <f t="shared" si="8"/>
        <v>7523.884408938462</v>
      </c>
      <c r="G38" s="65">
        <f t="shared" si="8"/>
        <v>7922.1834004384618</v>
      </c>
      <c r="H38" s="65">
        <f t="shared" si="8"/>
        <v>8332.4313616834625</v>
      </c>
      <c r="I38" s="65">
        <f t="shared" si="8"/>
        <v>8754.986761765811</v>
      </c>
      <c r="J38" s="65">
        <f t="shared" si="8"/>
        <v>9190.2188238506333</v>
      </c>
      <c r="K38" s="65">
        <f t="shared" si="8"/>
        <v>9638.5078477979969</v>
      </c>
      <c r="L38" s="65">
        <f t="shared" si="8"/>
        <v>10100.245542463783</v>
      </c>
      <c r="M38" s="65">
        <f t="shared" si="8"/>
        <v>10575.835367969545</v>
      </c>
      <c r="N38" s="65">
        <f t="shared" si="8"/>
        <v>11065.692888240477</v>
      </c>
      <c r="O38" s="65">
        <f t="shared" si="8"/>
        <v>11570.246134119536</v>
      </c>
      <c r="P38" s="65">
        <f t="shared" si="8"/>
        <v>12089.935977374969</v>
      </c>
      <c r="Q38" s="65">
        <f t="shared" si="8"/>
        <v>12625.216515928065</v>
      </c>
      <c r="R38" s="65">
        <f t="shared" si="8"/>
        <v>13176.555470637757</v>
      </c>
      <c r="S38" s="65">
        <f t="shared" si="8"/>
        <v>13744.434593988733</v>
      </c>
      <c r="T38" s="65">
        <f t="shared" si="8"/>
        <v>14329.350091040242</v>
      </c>
      <c r="U38" s="65">
        <f t="shared" si="8"/>
        <v>14931.813053003296</v>
      </c>
      <c r="V38" s="65">
        <f t="shared" si="8"/>
        <v>15552.349903825243</v>
      </c>
      <c r="W38" s="65">
        <f t="shared" si="8"/>
        <v>16191.502860171846</v>
      </c>
      <c r="X38" s="65">
        <f t="shared" si="8"/>
        <v>16849.83040520885</v>
      </c>
      <c r="Y38" s="65">
        <f t="shared" si="8"/>
        <v>17527.907776596963</v>
      </c>
      <c r="Z38" s="65">
        <f t="shared" si="8"/>
        <v>18226.327469126714</v>
      </c>
      <c r="AA38" s="65">
        <f t="shared" si="8"/>
        <v>18945.69975243236</v>
      </c>
      <c r="AB38" s="65">
        <f t="shared" si="8"/>
        <v>19686.653204237184</v>
      </c>
      <c r="AC38" s="65">
        <f t="shared" si="8"/>
        <v>20449.835259596141</v>
      </c>
      <c r="AD38" s="65">
        <f t="shared" si="8"/>
        <v>21235.912776615871</v>
      </c>
      <c r="AE38" s="65">
        <f t="shared" si="8"/>
        <v>22045.572619146194</v>
      </c>
      <c r="AF38" s="65">
        <f t="shared" si="8"/>
        <v>22879.522256952434</v>
      </c>
    </row>
    <row r="39" spans="1:33" x14ac:dyDescent="0.2">
      <c r="A39" s="63"/>
      <c r="B39" s="64" t="s">
        <v>123</v>
      </c>
      <c r="C39" s="65">
        <f>C19+C29-'1 Year Proforma + 30 year'!$C$57*C27</f>
        <v>37496.275052749552</v>
      </c>
      <c r="D39" s="65">
        <f>D19+D29-'1 Year Proforma + 30 year'!$C$57*D27</f>
        <v>47640.583630609399</v>
      </c>
      <c r="E39" s="65">
        <f>E19+E29-'1 Year Proforma + 30 year'!$C$57*E27</f>
        <v>58230.887803234895</v>
      </c>
      <c r="F39" s="65">
        <f>F19+F29-'1 Year Proforma + 30 year'!$C$57*F27</f>
        <v>69287.711413229568</v>
      </c>
      <c r="G39" s="65">
        <f>G19+G29-'1 Year Proforma + 30 year'!$C$57*G27</f>
        <v>80832.5529687245</v>
      </c>
      <c r="H39" s="65" t="e">
        <f>NA()</f>
        <v>#N/A</v>
      </c>
      <c r="I39" s="65">
        <f>I19+I29-'1 Year Proforma + 30 year'!$C$57*I27</f>
        <v>105477.44302320485</v>
      </c>
      <c r="J39" s="65">
        <f>J19+J29-'1 Year Proforma + 30 year'!$C$57*J27</f>
        <v>118625.7987157699</v>
      </c>
      <c r="K39" s="65">
        <f>K19+K29-'1 Year Proforma + 30 year'!$C$57*K27</f>
        <v>132358.89327399261</v>
      </c>
      <c r="L39" s="65">
        <f>L19+L29-'1 Year Proforma + 30 year'!$C$57*L27</f>
        <v>146703.85522902114</v>
      </c>
      <c r="M39" s="65">
        <f>M19+M29-'1 Year Proforma + 30 year'!$C$57*M27</f>
        <v>161689.10836392787</v>
      </c>
      <c r="N39" s="65">
        <f>N19+N29-'1 Year Proforma + 30 year'!$C$57*N27</f>
        <v>177344.43470106134</v>
      </c>
      <c r="O39" s="65">
        <f>O19+O29-'1 Year Proforma + 30 year'!$C$57*O27</f>
        <v>193701.04058724141</v>
      </c>
      <c r="P39" s="65">
        <f>P19+P29-'1 Year Proforma + 30 year'!$C$57*P27</f>
        <v>210791.62603019289</v>
      </c>
      <c r="Q39" s="65">
        <f>Q19+Q29-'1 Year Proforma + 30 year'!$C$57*Q27</f>
        <v>228650.45744724153</v>
      </c>
      <c r="R39" s="65">
        <f>R19+R29-'1 Year Proforma + 30 year'!$C$57*R27</f>
        <v>247313.44399530074</v>
      </c>
      <c r="S39" s="65">
        <f>S19+S29-'1 Year Proforma + 30 year'!$C$57*S27</f>
        <v>266818.21765958442</v>
      </c>
      <c r="T39" s="65">
        <f>T19+T29-'1 Year Proforma + 30 year'!$C$57*T27</f>
        <v>287204.21728730469</v>
      </c>
      <c r="U39" s="65">
        <f>U19+U29-'1 Year Proforma + 30 year'!$C$57*U27</f>
        <v>308512.77676187822</v>
      </c>
      <c r="V39" s="65">
        <f>V19+V29-'1 Year Proforma + 30 year'!$C$57*V27</f>
        <v>330787.21752288972</v>
      </c>
      <c r="W39" s="65">
        <f>W19+W29-'1 Year Proforma + 30 year'!$C$57*W27</f>
        <v>354072.94564727461</v>
      </c>
      <c r="X39" s="65">
        <f>X19+X29-'1 Year Proforma + 30 year'!$C$57*X27</f>
        <v>378417.55371789949</v>
      </c>
      <c r="Y39" s="65">
        <f>Y19+Y29-'1 Year Proforma + 30 year'!$C$57*Y27</f>
        <v>403870.92771697632</v>
      </c>
      <c r="Z39" s="65">
        <f>Z19+Z29-'1 Year Proforma + 30 year'!$C$57*Z27</f>
        <v>430485.3591935602</v>
      </c>
      <c r="AA39" s="65">
        <f>AA19+AA29-'1 Year Proforma + 30 year'!$C$57*AA27</f>
        <v>458315.66296678525</v>
      </c>
      <c r="AB39" s="65">
        <f>AB19+AB29-'1 Year Proforma + 30 year'!$C$57*AB27</f>
        <v>487419.30063951795</v>
      </c>
      <c r="AC39" s="65">
        <f>AC19+AC29-'1 Year Proforma + 30 year'!$C$57*AC27</f>
        <v>517856.5102107774</v>
      </c>
      <c r="AD39" s="65">
        <f>AD19+AD29-'1 Year Proforma + 30 year'!$C$57*AD27</f>
        <v>549690.44208963006</v>
      </c>
      <c r="AE39" s="65">
        <f>AE19+AE29-'1 Year Proforma + 30 year'!$C$57*AE27</f>
        <v>582987.30182833166</v>
      </c>
      <c r="AF39" s="65">
        <f>AF19+AF29-'1 Year Proforma + 30 year'!$C$57*AF27</f>
        <v>617816.4999083177</v>
      </c>
    </row>
    <row r="40" spans="1:33" x14ac:dyDescent="0.2">
      <c r="A40" s="63" t="s">
        <v>124</v>
      </c>
      <c r="B40" s="64" t="s">
        <v>125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</row>
    <row r="41" spans="1:33" x14ac:dyDescent="0.2">
      <c r="A41" s="66">
        <v>1</v>
      </c>
      <c r="B41" s="65">
        <f>-'1 Year Proforma + 30 year'!$C$12</f>
        <v>-33327</v>
      </c>
      <c r="C41" s="65">
        <f>C39</f>
        <v>37496.275052749552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</row>
    <row r="42" spans="1:33" x14ac:dyDescent="0.2">
      <c r="A42" s="66">
        <f t="shared" ref="A42:A70" si="9">A41+1</f>
        <v>2</v>
      </c>
      <c r="B42" s="65">
        <f>-'1 Year Proforma + 30 year'!$C$12</f>
        <v>-33327</v>
      </c>
      <c r="C42" s="65">
        <f>C38</f>
        <v>6397.2513589384598</v>
      </c>
      <c r="D42" s="65">
        <f>D39</f>
        <v>47640.583630609399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</row>
    <row r="43" spans="1:33" x14ac:dyDescent="0.2">
      <c r="A43" s="66">
        <f t="shared" si="9"/>
        <v>3</v>
      </c>
      <c r="B43" s="65">
        <f>-'1 Year Proforma + 30 year'!$C$12</f>
        <v>-33327</v>
      </c>
      <c r="C43" s="65">
        <f t="shared" ref="C43:C70" si="10">C42</f>
        <v>6397.2513589384598</v>
      </c>
      <c r="D43" s="65">
        <f>D38</f>
        <v>6761.7513589384598</v>
      </c>
      <c r="E43" s="65">
        <f>E39</f>
        <v>58230.887803234895</v>
      </c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</row>
    <row r="44" spans="1:33" x14ac:dyDescent="0.2">
      <c r="A44" s="66">
        <f t="shared" si="9"/>
        <v>4</v>
      </c>
      <c r="B44" s="65">
        <f>-'1 Year Proforma + 30 year'!$C$12</f>
        <v>-33327</v>
      </c>
      <c r="C44" s="65">
        <f t="shared" si="10"/>
        <v>6397.2513589384598</v>
      </c>
      <c r="D44" s="65">
        <f t="shared" ref="D44:D70" si="11">D43</f>
        <v>6761.7513589384598</v>
      </c>
      <c r="E44" s="65">
        <f>E38</f>
        <v>7137.1863589384611</v>
      </c>
      <c r="F44" s="65">
        <f>F39</f>
        <v>69287.711413229568</v>
      </c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</row>
    <row r="45" spans="1:33" x14ac:dyDescent="0.2">
      <c r="A45" s="66">
        <f t="shared" si="9"/>
        <v>5</v>
      </c>
      <c r="B45" s="65">
        <f>-'1 Year Proforma + 30 year'!$C$12</f>
        <v>-33327</v>
      </c>
      <c r="C45" s="65">
        <f t="shared" si="10"/>
        <v>6397.2513589384598</v>
      </c>
      <c r="D45" s="65">
        <f t="shared" si="11"/>
        <v>6761.7513589384598</v>
      </c>
      <c r="E45" s="65">
        <f t="shared" ref="E45:E70" si="12">E44</f>
        <v>7137.1863589384611</v>
      </c>
      <c r="F45" s="65">
        <f>F38</f>
        <v>7523.884408938462</v>
      </c>
      <c r="G45" s="65">
        <f>G39</f>
        <v>80832.5529687245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</row>
    <row r="46" spans="1:33" x14ac:dyDescent="0.2">
      <c r="A46" s="66">
        <f t="shared" si="9"/>
        <v>6</v>
      </c>
      <c r="B46" s="65">
        <f>-'1 Year Proforma + 30 year'!$C$12</f>
        <v>-33327</v>
      </c>
      <c r="C46" s="65">
        <f t="shared" si="10"/>
        <v>6397.2513589384598</v>
      </c>
      <c r="D46" s="65">
        <f t="shared" si="11"/>
        <v>6761.7513589384598</v>
      </c>
      <c r="E46" s="65">
        <f t="shared" si="12"/>
        <v>7137.1863589384611</v>
      </c>
      <c r="F46" s="65">
        <f t="shared" ref="F46:F70" si="13">F45</f>
        <v>7523.884408938462</v>
      </c>
      <c r="G46" s="65">
        <f>G38</f>
        <v>7922.1834004384618</v>
      </c>
      <c r="H46" s="65" t="e">
        <f>H39</f>
        <v>#N/A</v>
      </c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</row>
    <row r="47" spans="1:33" x14ac:dyDescent="0.2">
      <c r="A47" s="66">
        <f t="shared" si="9"/>
        <v>7</v>
      </c>
      <c r="B47" s="65">
        <f>-'1 Year Proforma + 30 year'!$C$12</f>
        <v>-33327</v>
      </c>
      <c r="C47" s="65">
        <f t="shared" si="10"/>
        <v>6397.2513589384598</v>
      </c>
      <c r="D47" s="65">
        <f t="shared" si="11"/>
        <v>6761.7513589384598</v>
      </c>
      <c r="E47" s="65">
        <f t="shared" si="12"/>
        <v>7137.1863589384611</v>
      </c>
      <c r="F47" s="65">
        <f t="shared" si="13"/>
        <v>7523.884408938462</v>
      </c>
      <c r="G47" s="65">
        <f t="shared" ref="G47:G70" si="14">G46</f>
        <v>7922.1834004384618</v>
      </c>
      <c r="H47" s="65">
        <f>H38</f>
        <v>8332.4313616834625</v>
      </c>
      <c r="I47" s="65">
        <f>I39</f>
        <v>105477.44302320485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</row>
    <row r="48" spans="1:33" x14ac:dyDescent="0.2">
      <c r="A48" s="66">
        <f t="shared" si="9"/>
        <v>8</v>
      </c>
      <c r="B48" s="65">
        <f>-'1 Year Proforma + 30 year'!$C$12</f>
        <v>-33327</v>
      </c>
      <c r="C48" s="65">
        <f t="shared" si="10"/>
        <v>6397.2513589384598</v>
      </c>
      <c r="D48" s="65">
        <f t="shared" si="11"/>
        <v>6761.7513589384598</v>
      </c>
      <c r="E48" s="65">
        <f t="shared" si="12"/>
        <v>7137.1863589384611</v>
      </c>
      <c r="F48" s="65">
        <f t="shared" si="13"/>
        <v>7523.884408938462</v>
      </c>
      <c r="G48" s="65">
        <f t="shared" si="14"/>
        <v>7922.1834004384618</v>
      </c>
      <c r="H48" s="65">
        <f t="shared" ref="H48:H70" si="15">H47</f>
        <v>8332.4313616834625</v>
      </c>
      <c r="I48" s="65">
        <f>I38</f>
        <v>8754.986761765811</v>
      </c>
      <c r="J48" s="65">
        <f>J39</f>
        <v>118625.7987157699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</row>
    <row r="49" spans="1:32" x14ac:dyDescent="0.2">
      <c r="A49" s="66">
        <f t="shared" si="9"/>
        <v>9</v>
      </c>
      <c r="B49" s="65">
        <f>-'1 Year Proforma + 30 year'!$C$12</f>
        <v>-33327</v>
      </c>
      <c r="C49" s="65">
        <f t="shared" si="10"/>
        <v>6397.2513589384598</v>
      </c>
      <c r="D49" s="65">
        <f t="shared" si="11"/>
        <v>6761.7513589384598</v>
      </c>
      <c r="E49" s="65">
        <f t="shared" si="12"/>
        <v>7137.1863589384611</v>
      </c>
      <c r="F49" s="65">
        <f t="shared" si="13"/>
        <v>7523.884408938462</v>
      </c>
      <c r="G49" s="65">
        <f t="shared" si="14"/>
        <v>7922.1834004384618</v>
      </c>
      <c r="H49" s="65">
        <f t="shared" si="15"/>
        <v>8332.4313616834625</v>
      </c>
      <c r="I49" s="65">
        <f t="shared" ref="I49:I70" si="16">I48</f>
        <v>8754.986761765811</v>
      </c>
      <c r="J49" s="65">
        <f>J38</f>
        <v>9190.2188238506333</v>
      </c>
      <c r="K49" s="65">
        <f>K39</f>
        <v>132358.89327399261</v>
      </c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</row>
    <row r="50" spans="1:32" x14ac:dyDescent="0.2">
      <c r="A50" s="66">
        <f t="shared" si="9"/>
        <v>10</v>
      </c>
      <c r="B50" s="65">
        <f>-'1 Year Proforma + 30 year'!$C$12</f>
        <v>-33327</v>
      </c>
      <c r="C50" s="65">
        <f t="shared" si="10"/>
        <v>6397.2513589384598</v>
      </c>
      <c r="D50" s="65">
        <f t="shared" si="11"/>
        <v>6761.7513589384598</v>
      </c>
      <c r="E50" s="65">
        <f t="shared" si="12"/>
        <v>7137.1863589384611</v>
      </c>
      <c r="F50" s="65">
        <f t="shared" si="13"/>
        <v>7523.884408938462</v>
      </c>
      <c r="G50" s="65">
        <f t="shared" si="14"/>
        <v>7922.1834004384618</v>
      </c>
      <c r="H50" s="65">
        <f t="shared" si="15"/>
        <v>8332.4313616834625</v>
      </c>
      <c r="I50" s="65">
        <f t="shared" si="16"/>
        <v>8754.986761765811</v>
      </c>
      <c r="J50" s="65">
        <f t="shared" ref="J50:J70" si="17">J49</f>
        <v>9190.2188238506333</v>
      </c>
      <c r="K50" s="65">
        <f>K38</f>
        <v>9638.5078477979969</v>
      </c>
      <c r="L50" s="65">
        <f>L39</f>
        <v>146703.85522902114</v>
      </c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</row>
    <row r="51" spans="1:32" x14ac:dyDescent="0.2">
      <c r="A51" s="66">
        <f t="shared" si="9"/>
        <v>11</v>
      </c>
      <c r="B51" s="65">
        <f>-'1 Year Proforma + 30 year'!$C$12</f>
        <v>-33327</v>
      </c>
      <c r="C51" s="65">
        <f t="shared" si="10"/>
        <v>6397.2513589384598</v>
      </c>
      <c r="D51" s="65">
        <f t="shared" si="11"/>
        <v>6761.7513589384598</v>
      </c>
      <c r="E51" s="65">
        <f t="shared" si="12"/>
        <v>7137.1863589384611</v>
      </c>
      <c r="F51" s="65">
        <f t="shared" si="13"/>
        <v>7523.884408938462</v>
      </c>
      <c r="G51" s="65">
        <f t="shared" si="14"/>
        <v>7922.1834004384618</v>
      </c>
      <c r="H51" s="65">
        <f t="shared" si="15"/>
        <v>8332.4313616834625</v>
      </c>
      <c r="I51" s="65">
        <f t="shared" si="16"/>
        <v>8754.986761765811</v>
      </c>
      <c r="J51" s="65">
        <f t="shared" si="17"/>
        <v>9190.2188238506333</v>
      </c>
      <c r="K51" s="65">
        <f t="shared" ref="K51:K70" si="18">K50</f>
        <v>9638.5078477979969</v>
      </c>
      <c r="L51" s="65">
        <f>L38</f>
        <v>10100.245542463783</v>
      </c>
      <c r="M51" s="65">
        <f>M39</f>
        <v>161689.10836392787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</row>
    <row r="52" spans="1:32" x14ac:dyDescent="0.2">
      <c r="A52" s="66">
        <f t="shared" si="9"/>
        <v>12</v>
      </c>
      <c r="B52" s="65">
        <f>-'1 Year Proforma + 30 year'!$C$12</f>
        <v>-33327</v>
      </c>
      <c r="C52" s="65">
        <f t="shared" si="10"/>
        <v>6397.2513589384598</v>
      </c>
      <c r="D52" s="65">
        <f t="shared" si="11"/>
        <v>6761.7513589384598</v>
      </c>
      <c r="E52" s="65">
        <f t="shared" si="12"/>
        <v>7137.1863589384611</v>
      </c>
      <c r="F52" s="65">
        <f t="shared" si="13"/>
        <v>7523.884408938462</v>
      </c>
      <c r="G52" s="65">
        <f t="shared" si="14"/>
        <v>7922.1834004384618</v>
      </c>
      <c r="H52" s="65">
        <f t="shared" si="15"/>
        <v>8332.4313616834625</v>
      </c>
      <c r="I52" s="65">
        <f t="shared" si="16"/>
        <v>8754.986761765811</v>
      </c>
      <c r="J52" s="65">
        <f t="shared" si="17"/>
        <v>9190.2188238506333</v>
      </c>
      <c r="K52" s="65">
        <f t="shared" si="18"/>
        <v>9638.5078477979969</v>
      </c>
      <c r="L52" s="65">
        <f t="shared" ref="L52:L70" si="19">L51</f>
        <v>10100.245542463783</v>
      </c>
      <c r="M52" s="65">
        <f>M38</f>
        <v>10575.835367969545</v>
      </c>
      <c r="N52" s="65">
        <f>N39</f>
        <v>177344.43470106134</v>
      </c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</row>
    <row r="53" spans="1:32" x14ac:dyDescent="0.2">
      <c r="A53" s="66">
        <f t="shared" si="9"/>
        <v>13</v>
      </c>
      <c r="B53" s="65">
        <f>-'1 Year Proforma + 30 year'!$C$12</f>
        <v>-33327</v>
      </c>
      <c r="C53" s="65">
        <f t="shared" si="10"/>
        <v>6397.2513589384598</v>
      </c>
      <c r="D53" s="65">
        <f t="shared" si="11"/>
        <v>6761.7513589384598</v>
      </c>
      <c r="E53" s="65">
        <f t="shared" si="12"/>
        <v>7137.1863589384611</v>
      </c>
      <c r="F53" s="65">
        <f t="shared" si="13"/>
        <v>7523.884408938462</v>
      </c>
      <c r="G53" s="65">
        <f t="shared" si="14"/>
        <v>7922.1834004384618</v>
      </c>
      <c r="H53" s="65">
        <f t="shared" si="15"/>
        <v>8332.4313616834625</v>
      </c>
      <c r="I53" s="65">
        <f t="shared" si="16"/>
        <v>8754.986761765811</v>
      </c>
      <c r="J53" s="65">
        <f t="shared" si="17"/>
        <v>9190.2188238506333</v>
      </c>
      <c r="K53" s="65">
        <f t="shared" si="18"/>
        <v>9638.5078477979969</v>
      </c>
      <c r="L53" s="65">
        <f t="shared" si="19"/>
        <v>10100.245542463783</v>
      </c>
      <c r="M53" s="65">
        <f t="shared" ref="M53:M70" si="20">M52</f>
        <v>10575.835367969545</v>
      </c>
      <c r="N53" s="65">
        <f>N38</f>
        <v>11065.692888240477</v>
      </c>
      <c r="O53" s="65">
        <f>O39</f>
        <v>193701.04058724141</v>
      </c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</row>
    <row r="54" spans="1:32" x14ac:dyDescent="0.2">
      <c r="A54" s="66">
        <f t="shared" si="9"/>
        <v>14</v>
      </c>
      <c r="B54" s="65">
        <f>-'1 Year Proforma + 30 year'!$C$12</f>
        <v>-33327</v>
      </c>
      <c r="C54" s="65">
        <f t="shared" si="10"/>
        <v>6397.2513589384598</v>
      </c>
      <c r="D54" s="65">
        <f t="shared" si="11"/>
        <v>6761.7513589384598</v>
      </c>
      <c r="E54" s="65">
        <f t="shared" si="12"/>
        <v>7137.1863589384611</v>
      </c>
      <c r="F54" s="65">
        <f t="shared" si="13"/>
        <v>7523.884408938462</v>
      </c>
      <c r="G54" s="65">
        <f t="shared" si="14"/>
        <v>7922.1834004384618</v>
      </c>
      <c r="H54" s="65">
        <f t="shared" si="15"/>
        <v>8332.4313616834625</v>
      </c>
      <c r="I54" s="65">
        <f t="shared" si="16"/>
        <v>8754.986761765811</v>
      </c>
      <c r="J54" s="65">
        <f t="shared" si="17"/>
        <v>9190.2188238506333</v>
      </c>
      <c r="K54" s="65">
        <f t="shared" si="18"/>
        <v>9638.5078477979969</v>
      </c>
      <c r="L54" s="65">
        <f t="shared" si="19"/>
        <v>10100.245542463783</v>
      </c>
      <c r="M54" s="65">
        <f t="shared" si="20"/>
        <v>10575.835367969545</v>
      </c>
      <c r="N54" s="65">
        <f t="shared" ref="N54:N70" si="21">N53</f>
        <v>11065.692888240477</v>
      </c>
      <c r="O54" s="65">
        <f>O38</f>
        <v>11570.246134119536</v>
      </c>
      <c r="P54" s="65">
        <f>P39</f>
        <v>210791.62603019289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</row>
    <row r="55" spans="1:32" x14ac:dyDescent="0.2">
      <c r="A55" s="66">
        <f t="shared" si="9"/>
        <v>15</v>
      </c>
      <c r="B55" s="65">
        <f>-'1 Year Proforma + 30 year'!$C$12</f>
        <v>-33327</v>
      </c>
      <c r="C55" s="65">
        <f t="shared" si="10"/>
        <v>6397.2513589384598</v>
      </c>
      <c r="D55" s="65">
        <f t="shared" si="11"/>
        <v>6761.7513589384598</v>
      </c>
      <c r="E55" s="65">
        <f t="shared" si="12"/>
        <v>7137.1863589384611</v>
      </c>
      <c r="F55" s="65">
        <f t="shared" si="13"/>
        <v>7523.884408938462</v>
      </c>
      <c r="G55" s="65">
        <f t="shared" si="14"/>
        <v>7922.1834004384618</v>
      </c>
      <c r="H55" s="65">
        <f t="shared" si="15"/>
        <v>8332.4313616834625</v>
      </c>
      <c r="I55" s="65">
        <f t="shared" si="16"/>
        <v>8754.986761765811</v>
      </c>
      <c r="J55" s="65">
        <f t="shared" si="17"/>
        <v>9190.2188238506333</v>
      </c>
      <c r="K55" s="65">
        <f t="shared" si="18"/>
        <v>9638.5078477979969</v>
      </c>
      <c r="L55" s="65">
        <f t="shared" si="19"/>
        <v>10100.245542463783</v>
      </c>
      <c r="M55" s="65">
        <f t="shared" si="20"/>
        <v>10575.835367969545</v>
      </c>
      <c r="N55" s="65">
        <f t="shared" si="21"/>
        <v>11065.692888240477</v>
      </c>
      <c r="O55" s="65">
        <f t="shared" ref="O55:O70" si="22">O54</f>
        <v>11570.246134119536</v>
      </c>
      <c r="P55" s="65">
        <f>P38</f>
        <v>12089.935977374969</v>
      </c>
      <c r="Q55" s="65">
        <f>Q39</f>
        <v>228650.45744724153</v>
      </c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</row>
    <row r="56" spans="1:32" x14ac:dyDescent="0.2">
      <c r="A56" s="66">
        <f t="shared" si="9"/>
        <v>16</v>
      </c>
      <c r="B56" s="65">
        <f>-'1 Year Proforma + 30 year'!$C$12</f>
        <v>-33327</v>
      </c>
      <c r="C56" s="65">
        <f t="shared" si="10"/>
        <v>6397.2513589384598</v>
      </c>
      <c r="D56" s="65">
        <f t="shared" si="11"/>
        <v>6761.7513589384598</v>
      </c>
      <c r="E56" s="65">
        <f t="shared" si="12"/>
        <v>7137.1863589384611</v>
      </c>
      <c r="F56" s="65">
        <f t="shared" si="13"/>
        <v>7523.884408938462</v>
      </c>
      <c r="G56" s="65">
        <f t="shared" si="14"/>
        <v>7922.1834004384618</v>
      </c>
      <c r="H56" s="65">
        <f t="shared" si="15"/>
        <v>8332.4313616834625</v>
      </c>
      <c r="I56" s="65">
        <f t="shared" si="16"/>
        <v>8754.986761765811</v>
      </c>
      <c r="J56" s="65">
        <f t="shared" si="17"/>
        <v>9190.2188238506333</v>
      </c>
      <c r="K56" s="65">
        <f t="shared" si="18"/>
        <v>9638.5078477979969</v>
      </c>
      <c r="L56" s="65">
        <f t="shared" si="19"/>
        <v>10100.245542463783</v>
      </c>
      <c r="M56" s="65">
        <f t="shared" si="20"/>
        <v>10575.835367969545</v>
      </c>
      <c r="N56" s="65">
        <f t="shared" si="21"/>
        <v>11065.692888240477</v>
      </c>
      <c r="O56" s="65">
        <f t="shared" si="22"/>
        <v>11570.246134119536</v>
      </c>
      <c r="P56" s="65">
        <f t="shared" ref="P56:P70" si="23">P55</f>
        <v>12089.935977374969</v>
      </c>
      <c r="Q56" s="65">
        <f>Q38</f>
        <v>12625.216515928065</v>
      </c>
      <c r="R56" s="65">
        <f>R39</f>
        <v>247313.44399530074</v>
      </c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</row>
    <row r="57" spans="1:32" x14ac:dyDescent="0.2">
      <c r="A57" s="66">
        <f t="shared" si="9"/>
        <v>17</v>
      </c>
      <c r="B57" s="65">
        <f>-'1 Year Proforma + 30 year'!$C$12</f>
        <v>-33327</v>
      </c>
      <c r="C57" s="65">
        <f t="shared" si="10"/>
        <v>6397.2513589384598</v>
      </c>
      <c r="D57" s="65">
        <f t="shared" si="11"/>
        <v>6761.7513589384598</v>
      </c>
      <c r="E57" s="65">
        <f t="shared" si="12"/>
        <v>7137.1863589384611</v>
      </c>
      <c r="F57" s="65">
        <f t="shared" si="13"/>
        <v>7523.884408938462</v>
      </c>
      <c r="G57" s="65">
        <f t="shared" si="14"/>
        <v>7922.1834004384618</v>
      </c>
      <c r="H57" s="65">
        <f t="shared" si="15"/>
        <v>8332.4313616834625</v>
      </c>
      <c r="I57" s="65">
        <f t="shared" si="16"/>
        <v>8754.986761765811</v>
      </c>
      <c r="J57" s="65">
        <f t="shared" si="17"/>
        <v>9190.2188238506333</v>
      </c>
      <c r="K57" s="65">
        <f t="shared" si="18"/>
        <v>9638.5078477979969</v>
      </c>
      <c r="L57" s="65">
        <f t="shared" si="19"/>
        <v>10100.245542463783</v>
      </c>
      <c r="M57" s="65">
        <f t="shared" si="20"/>
        <v>10575.835367969545</v>
      </c>
      <c r="N57" s="65">
        <f t="shared" si="21"/>
        <v>11065.692888240477</v>
      </c>
      <c r="O57" s="65">
        <f t="shared" si="22"/>
        <v>11570.246134119536</v>
      </c>
      <c r="P57" s="65">
        <f t="shared" si="23"/>
        <v>12089.935977374969</v>
      </c>
      <c r="Q57" s="65">
        <f t="shared" ref="Q57:Q70" si="24">Q56</f>
        <v>12625.216515928065</v>
      </c>
      <c r="R57" s="65">
        <f>R38</f>
        <v>13176.555470637757</v>
      </c>
      <c r="S57" s="65">
        <f>S39</f>
        <v>266818.21765958442</v>
      </c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</row>
    <row r="58" spans="1:32" x14ac:dyDescent="0.2">
      <c r="A58" s="66">
        <f t="shared" si="9"/>
        <v>18</v>
      </c>
      <c r="B58" s="65">
        <f>-'1 Year Proforma + 30 year'!$C$12</f>
        <v>-33327</v>
      </c>
      <c r="C58" s="65">
        <f t="shared" si="10"/>
        <v>6397.2513589384598</v>
      </c>
      <c r="D58" s="65">
        <f t="shared" si="11"/>
        <v>6761.7513589384598</v>
      </c>
      <c r="E58" s="65">
        <f t="shared" si="12"/>
        <v>7137.1863589384611</v>
      </c>
      <c r="F58" s="65">
        <f t="shared" si="13"/>
        <v>7523.884408938462</v>
      </c>
      <c r="G58" s="65">
        <f t="shared" si="14"/>
        <v>7922.1834004384618</v>
      </c>
      <c r="H58" s="65">
        <f t="shared" si="15"/>
        <v>8332.4313616834625</v>
      </c>
      <c r="I58" s="65">
        <f t="shared" si="16"/>
        <v>8754.986761765811</v>
      </c>
      <c r="J58" s="65">
        <f t="shared" si="17"/>
        <v>9190.2188238506333</v>
      </c>
      <c r="K58" s="65">
        <f t="shared" si="18"/>
        <v>9638.5078477979969</v>
      </c>
      <c r="L58" s="65">
        <f t="shared" si="19"/>
        <v>10100.245542463783</v>
      </c>
      <c r="M58" s="65">
        <f t="shared" si="20"/>
        <v>10575.835367969545</v>
      </c>
      <c r="N58" s="65">
        <f t="shared" si="21"/>
        <v>11065.692888240477</v>
      </c>
      <c r="O58" s="65">
        <f t="shared" si="22"/>
        <v>11570.246134119536</v>
      </c>
      <c r="P58" s="65">
        <f t="shared" si="23"/>
        <v>12089.935977374969</v>
      </c>
      <c r="Q58" s="65">
        <f t="shared" si="24"/>
        <v>12625.216515928065</v>
      </c>
      <c r="R58" s="65">
        <f t="shared" ref="R58:R70" si="25">R57</f>
        <v>13176.555470637757</v>
      </c>
      <c r="S58" s="65">
        <f>S38</f>
        <v>13744.434593988733</v>
      </c>
      <c r="T58" s="65">
        <f>T39</f>
        <v>287204.21728730469</v>
      </c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</row>
    <row r="59" spans="1:32" x14ac:dyDescent="0.2">
      <c r="A59" s="66">
        <f t="shared" si="9"/>
        <v>19</v>
      </c>
      <c r="B59" s="65">
        <f>-'1 Year Proforma + 30 year'!$C$12</f>
        <v>-33327</v>
      </c>
      <c r="C59" s="65">
        <f t="shared" si="10"/>
        <v>6397.2513589384598</v>
      </c>
      <c r="D59" s="65">
        <f t="shared" si="11"/>
        <v>6761.7513589384598</v>
      </c>
      <c r="E59" s="65">
        <f t="shared" si="12"/>
        <v>7137.1863589384611</v>
      </c>
      <c r="F59" s="65">
        <f t="shared" si="13"/>
        <v>7523.884408938462</v>
      </c>
      <c r="G59" s="65">
        <f t="shared" si="14"/>
        <v>7922.1834004384618</v>
      </c>
      <c r="H59" s="65">
        <f t="shared" si="15"/>
        <v>8332.4313616834625</v>
      </c>
      <c r="I59" s="65">
        <f t="shared" si="16"/>
        <v>8754.986761765811</v>
      </c>
      <c r="J59" s="65">
        <f t="shared" si="17"/>
        <v>9190.2188238506333</v>
      </c>
      <c r="K59" s="65">
        <f t="shared" si="18"/>
        <v>9638.5078477979969</v>
      </c>
      <c r="L59" s="65">
        <f t="shared" si="19"/>
        <v>10100.245542463783</v>
      </c>
      <c r="M59" s="65">
        <f t="shared" si="20"/>
        <v>10575.835367969545</v>
      </c>
      <c r="N59" s="65">
        <f t="shared" si="21"/>
        <v>11065.692888240477</v>
      </c>
      <c r="O59" s="65">
        <f t="shared" si="22"/>
        <v>11570.246134119536</v>
      </c>
      <c r="P59" s="65">
        <f t="shared" si="23"/>
        <v>12089.935977374969</v>
      </c>
      <c r="Q59" s="65">
        <f t="shared" si="24"/>
        <v>12625.216515928065</v>
      </c>
      <c r="R59" s="65">
        <f t="shared" si="25"/>
        <v>13176.555470637757</v>
      </c>
      <c r="S59" s="65">
        <f t="shared" ref="S59:S70" si="26">S58</f>
        <v>13744.434593988733</v>
      </c>
      <c r="T59" s="65">
        <f>T38</f>
        <v>14329.350091040242</v>
      </c>
      <c r="U59" s="65">
        <f>U39</f>
        <v>308512.77676187822</v>
      </c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</row>
    <row r="60" spans="1:32" x14ac:dyDescent="0.2">
      <c r="A60" s="66">
        <f t="shared" si="9"/>
        <v>20</v>
      </c>
      <c r="B60" s="65">
        <f>-'1 Year Proforma + 30 year'!$C$12</f>
        <v>-33327</v>
      </c>
      <c r="C60" s="65">
        <f t="shared" si="10"/>
        <v>6397.2513589384598</v>
      </c>
      <c r="D60" s="65">
        <f t="shared" si="11"/>
        <v>6761.7513589384598</v>
      </c>
      <c r="E60" s="65">
        <f t="shared" si="12"/>
        <v>7137.1863589384611</v>
      </c>
      <c r="F60" s="65">
        <f t="shared" si="13"/>
        <v>7523.884408938462</v>
      </c>
      <c r="G60" s="65">
        <f t="shared" si="14"/>
        <v>7922.1834004384618</v>
      </c>
      <c r="H60" s="65">
        <f t="shared" si="15"/>
        <v>8332.4313616834625</v>
      </c>
      <c r="I60" s="65">
        <f t="shared" si="16"/>
        <v>8754.986761765811</v>
      </c>
      <c r="J60" s="65">
        <f t="shared" si="17"/>
        <v>9190.2188238506333</v>
      </c>
      <c r="K60" s="65">
        <f t="shared" si="18"/>
        <v>9638.5078477979969</v>
      </c>
      <c r="L60" s="65">
        <f t="shared" si="19"/>
        <v>10100.245542463783</v>
      </c>
      <c r="M60" s="65">
        <f t="shared" si="20"/>
        <v>10575.835367969545</v>
      </c>
      <c r="N60" s="65">
        <f t="shared" si="21"/>
        <v>11065.692888240477</v>
      </c>
      <c r="O60" s="65">
        <f t="shared" si="22"/>
        <v>11570.246134119536</v>
      </c>
      <c r="P60" s="65">
        <f t="shared" si="23"/>
        <v>12089.935977374969</v>
      </c>
      <c r="Q60" s="65">
        <f t="shared" si="24"/>
        <v>12625.216515928065</v>
      </c>
      <c r="R60" s="65">
        <f t="shared" si="25"/>
        <v>13176.555470637757</v>
      </c>
      <c r="S60" s="65">
        <f t="shared" si="26"/>
        <v>13744.434593988733</v>
      </c>
      <c r="T60" s="65">
        <f t="shared" ref="T60:T70" si="27">T59</f>
        <v>14329.350091040242</v>
      </c>
      <c r="U60" s="65">
        <f>U38</f>
        <v>14931.813053003296</v>
      </c>
      <c r="V60" s="65">
        <f>V39</f>
        <v>330787.21752288972</v>
      </c>
      <c r="W60" s="65"/>
      <c r="X60" s="65"/>
      <c r="Y60" s="65"/>
      <c r="Z60" s="65"/>
      <c r="AA60" s="65"/>
      <c r="AB60" s="65"/>
      <c r="AC60" s="65"/>
      <c r="AD60" s="65"/>
      <c r="AE60" s="65"/>
      <c r="AF60" s="65"/>
    </row>
    <row r="61" spans="1:32" x14ac:dyDescent="0.2">
      <c r="A61" s="66">
        <f t="shared" si="9"/>
        <v>21</v>
      </c>
      <c r="B61" s="65">
        <f>-'1 Year Proforma + 30 year'!$C$12</f>
        <v>-33327</v>
      </c>
      <c r="C61" s="65">
        <f t="shared" si="10"/>
        <v>6397.2513589384598</v>
      </c>
      <c r="D61" s="65">
        <f t="shared" si="11"/>
        <v>6761.7513589384598</v>
      </c>
      <c r="E61" s="65">
        <f t="shared" si="12"/>
        <v>7137.1863589384611</v>
      </c>
      <c r="F61" s="65">
        <f t="shared" si="13"/>
        <v>7523.884408938462</v>
      </c>
      <c r="G61" s="65">
        <f t="shared" si="14"/>
        <v>7922.1834004384618</v>
      </c>
      <c r="H61" s="65">
        <f t="shared" si="15"/>
        <v>8332.4313616834625</v>
      </c>
      <c r="I61" s="65">
        <f t="shared" si="16"/>
        <v>8754.986761765811</v>
      </c>
      <c r="J61" s="65">
        <f t="shared" si="17"/>
        <v>9190.2188238506333</v>
      </c>
      <c r="K61" s="65">
        <f t="shared" si="18"/>
        <v>9638.5078477979969</v>
      </c>
      <c r="L61" s="65">
        <f t="shared" si="19"/>
        <v>10100.245542463783</v>
      </c>
      <c r="M61" s="65">
        <f t="shared" si="20"/>
        <v>10575.835367969545</v>
      </c>
      <c r="N61" s="65">
        <f t="shared" si="21"/>
        <v>11065.692888240477</v>
      </c>
      <c r="O61" s="65">
        <f t="shared" si="22"/>
        <v>11570.246134119536</v>
      </c>
      <c r="P61" s="65">
        <f t="shared" si="23"/>
        <v>12089.935977374969</v>
      </c>
      <c r="Q61" s="65">
        <f t="shared" si="24"/>
        <v>12625.216515928065</v>
      </c>
      <c r="R61" s="65">
        <f t="shared" si="25"/>
        <v>13176.555470637757</v>
      </c>
      <c r="S61" s="65">
        <f t="shared" si="26"/>
        <v>13744.434593988733</v>
      </c>
      <c r="T61" s="65">
        <f t="shared" si="27"/>
        <v>14329.350091040242</v>
      </c>
      <c r="U61" s="65">
        <f t="shared" ref="U61:U70" si="28">U60</f>
        <v>14931.813053003296</v>
      </c>
      <c r="V61" s="65">
        <f>V38</f>
        <v>15552.349903825243</v>
      </c>
      <c r="W61" s="65">
        <f>W39</f>
        <v>354072.94564727461</v>
      </c>
      <c r="X61" s="65"/>
      <c r="Y61" s="65"/>
      <c r="Z61" s="65"/>
      <c r="AA61" s="65"/>
      <c r="AB61" s="65"/>
      <c r="AC61" s="65"/>
      <c r="AD61" s="65"/>
      <c r="AE61" s="65"/>
      <c r="AF61" s="65"/>
    </row>
    <row r="62" spans="1:32" x14ac:dyDescent="0.2">
      <c r="A62" s="66">
        <f t="shared" si="9"/>
        <v>22</v>
      </c>
      <c r="B62" s="65">
        <f>-'1 Year Proforma + 30 year'!$C$12</f>
        <v>-33327</v>
      </c>
      <c r="C62" s="65">
        <f t="shared" si="10"/>
        <v>6397.2513589384598</v>
      </c>
      <c r="D62" s="65">
        <f t="shared" si="11"/>
        <v>6761.7513589384598</v>
      </c>
      <c r="E62" s="65">
        <f t="shared" si="12"/>
        <v>7137.1863589384611</v>
      </c>
      <c r="F62" s="65">
        <f t="shared" si="13"/>
        <v>7523.884408938462</v>
      </c>
      <c r="G62" s="65">
        <f t="shared" si="14"/>
        <v>7922.1834004384618</v>
      </c>
      <c r="H62" s="65">
        <f t="shared" si="15"/>
        <v>8332.4313616834625</v>
      </c>
      <c r="I62" s="65">
        <f t="shared" si="16"/>
        <v>8754.986761765811</v>
      </c>
      <c r="J62" s="65">
        <f t="shared" si="17"/>
        <v>9190.2188238506333</v>
      </c>
      <c r="K62" s="65">
        <f t="shared" si="18"/>
        <v>9638.5078477979969</v>
      </c>
      <c r="L62" s="65">
        <f t="shared" si="19"/>
        <v>10100.245542463783</v>
      </c>
      <c r="M62" s="65">
        <f t="shared" si="20"/>
        <v>10575.835367969545</v>
      </c>
      <c r="N62" s="65">
        <f t="shared" si="21"/>
        <v>11065.692888240477</v>
      </c>
      <c r="O62" s="65">
        <f t="shared" si="22"/>
        <v>11570.246134119536</v>
      </c>
      <c r="P62" s="65">
        <f t="shared" si="23"/>
        <v>12089.935977374969</v>
      </c>
      <c r="Q62" s="65">
        <f t="shared" si="24"/>
        <v>12625.216515928065</v>
      </c>
      <c r="R62" s="65">
        <f t="shared" si="25"/>
        <v>13176.555470637757</v>
      </c>
      <c r="S62" s="65">
        <f t="shared" si="26"/>
        <v>13744.434593988733</v>
      </c>
      <c r="T62" s="65">
        <f t="shared" si="27"/>
        <v>14329.350091040242</v>
      </c>
      <c r="U62" s="65">
        <f t="shared" si="28"/>
        <v>14931.813053003296</v>
      </c>
      <c r="V62" s="65">
        <f t="shared" ref="V62:V70" si="29">V61</f>
        <v>15552.349903825243</v>
      </c>
      <c r="W62" s="65">
        <f>W38</f>
        <v>16191.502860171846</v>
      </c>
      <c r="X62" s="65">
        <f>X39</f>
        <v>378417.55371789949</v>
      </c>
      <c r="Y62" s="65"/>
      <c r="Z62" s="65"/>
      <c r="AA62" s="65"/>
      <c r="AB62" s="65"/>
      <c r="AC62" s="65"/>
      <c r="AD62" s="65"/>
      <c r="AE62" s="65"/>
      <c r="AF62" s="65"/>
    </row>
    <row r="63" spans="1:32" x14ac:dyDescent="0.2">
      <c r="A63" s="66">
        <f t="shared" si="9"/>
        <v>23</v>
      </c>
      <c r="B63" s="65">
        <f>-'1 Year Proforma + 30 year'!$C$12</f>
        <v>-33327</v>
      </c>
      <c r="C63" s="65">
        <f t="shared" si="10"/>
        <v>6397.2513589384598</v>
      </c>
      <c r="D63" s="65">
        <f t="shared" si="11"/>
        <v>6761.7513589384598</v>
      </c>
      <c r="E63" s="65">
        <f t="shared" si="12"/>
        <v>7137.1863589384611</v>
      </c>
      <c r="F63" s="65">
        <f t="shared" si="13"/>
        <v>7523.884408938462</v>
      </c>
      <c r="G63" s="65">
        <f t="shared" si="14"/>
        <v>7922.1834004384618</v>
      </c>
      <c r="H63" s="65">
        <f t="shared" si="15"/>
        <v>8332.4313616834625</v>
      </c>
      <c r="I63" s="65">
        <f t="shared" si="16"/>
        <v>8754.986761765811</v>
      </c>
      <c r="J63" s="65">
        <f t="shared" si="17"/>
        <v>9190.2188238506333</v>
      </c>
      <c r="K63" s="65">
        <f t="shared" si="18"/>
        <v>9638.5078477979969</v>
      </c>
      <c r="L63" s="65">
        <f t="shared" si="19"/>
        <v>10100.245542463783</v>
      </c>
      <c r="M63" s="65">
        <f t="shared" si="20"/>
        <v>10575.835367969545</v>
      </c>
      <c r="N63" s="65">
        <f t="shared" si="21"/>
        <v>11065.692888240477</v>
      </c>
      <c r="O63" s="65">
        <f t="shared" si="22"/>
        <v>11570.246134119536</v>
      </c>
      <c r="P63" s="65">
        <f t="shared" si="23"/>
        <v>12089.935977374969</v>
      </c>
      <c r="Q63" s="65">
        <f t="shared" si="24"/>
        <v>12625.216515928065</v>
      </c>
      <c r="R63" s="65">
        <f t="shared" si="25"/>
        <v>13176.555470637757</v>
      </c>
      <c r="S63" s="65">
        <f t="shared" si="26"/>
        <v>13744.434593988733</v>
      </c>
      <c r="T63" s="65">
        <f t="shared" si="27"/>
        <v>14329.350091040242</v>
      </c>
      <c r="U63" s="65">
        <f t="shared" si="28"/>
        <v>14931.813053003296</v>
      </c>
      <c r="V63" s="65">
        <f t="shared" si="29"/>
        <v>15552.349903825243</v>
      </c>
      <c r="W63" s="65">
        <f t="shared" ref="W63:W70" si="30">W62</f>
        <v>16191.502860171846</v>
      </c>
      <c r="X63" s="65">
        <f>X38</f>
        <v>16849.83040520885</v>
      </c>
      <c r="Y63" s="65">
        <f>Y39</f>
        <v>403870.92771697632</v>
      </c>
      <c r="Z63" s="65"/>
      <c r="AA63" s="65"/>
      <c r="AB63" s="65"/>
      <c r="AC63" s="65"/>
      <c r="AD63" s="65"/>
      <c r="AE63" s="65"/>
      <c r="AF63" s="65"/>
    </row>
    <row r="64" spans="1:32" x14ac:dyDescent="0.2">
      <c r="A64" s="66">
        <f t="shared" si="9"/>
        <v>24</v>
      </c>
      <c r="B64" s="65">
        <f>-'1 Year Proforma + 30 year'!$C$12</f>
        <v>-33327</v>
      </c>
      <c r="C64" s="65">
        <f t="shared" si="10"/>
        <v>6397.2513589384598</v>
      </c>
      <c r="D64" s="65">
        <f t="shared" si="11"/>
        <v>6761.7513589384598</v>
      </c>
      <c r="E64" s="65">
        <f t="shared" si="12"/>
        <v>7137.1863589384611</v>
      </c>
      <c r="F64" s="65">
        <f t="shared" si="13"/>
        <v>7523.884408938462</v>
      </c>
      <c r="G64" s="65">
        <f t="shared" si="14"/>
        <v>7922.1834004384618</v>
      </c>
      <c r="H64" s="65">
        <f t="shared" si="15"/>
        <v>8332.4313616834625</v>
      </c>
      <c r="I64" s="65">
        <f t="shared" si="16"/>
        <v>8754.986761765811</v>
      </c>
      <c r="J64" s="65">
        <f t="shared" si="17"/>
        <v>9190.2188238506333</v>
      </c>
      <c r="K64" s="65">
        <f t="shared" si="18"/>
        <v>9638.5078477979969</v>
      </c>
      <c r="L64" s="65">
        <f t="shared" si="19"/>
        <v>10100.245542463783</v>
      </c>
      <c r="M64" s="65">
        <f t="shared" si="20"/>
        <v>10575.835367969545</v>
      </c>
      <c r="N64" s="65">
        <f t="shared" si="21"/>
        <v>11065.692888240477</v>
      </c>
      <c r="O64" s="65">
        <f t="shared" si="22"/>
        <v>11570.246134119536</v>
      </c>
      <c r="P64" s="65">
        <f t="shared" si="23"/>
        <v>12089.935977374969</v>
      </c>
      <c r="Q64" s="65">
        <f t="shared" si="24"/>
        <v>12625.216515928065</v>
      </c>
      <c r="R64" s="65">
        <f t="shared" si="25"/>
        <v>13176.555470637757</v>
      </c>
      <c r="S64" s="65">
        <f t="shared" si="26"/>
        <v>13744.434593988733</v>
      </c>
      <c r="T64" s="65">
        <f t="shared" si="27"/>
        <v>14329.350091040242</v>
      </c>
      <c r="U64" s="65">
        <f t="shared" si="28"/>
        <v>14931.813053003296</v>
      </c>
      <c r="V64" s="65">
        <f t="shared" si="29"/>
        <v>15552.349903825243</v>
      </c>
      <c r="W64" s="65">
        <f t="shared" si="30"/>
        <v>16191.502860171846</v>
      </c>
      <c r="X64" s="65">
        <f t="shared" ref="X64:X70" si="31">X63</f>
        <v>16849.83040520885</v>
      </c>
      <c r="Y64" s="65">
        <f>Y38</f>
        <v>17527.907776596963</v>
      </c>
      <c r="Z64" s="65">
        <f>Z39</f>
        <v>430485.3591935602</v>
      </c>
      <c r="AA64" s="65"/>
      <c r="AB64" s="65"/>
      <c r="AC64" s="65"/>
      <c r="AD64" s="65"/>
      <c r="AE64" s="65"/>
      <c r="AF64" s="65"/>
    </row>
    <row r="65" spans="1:32" x14ac:dyDescent="0.2">
      <c r="A65" s="66">
        <f t="shared" si="9"/>
        <v>25</v>
      </c>
      <c r="B65" s="65">
        <f>-'1 Year Proforma + 30 year'!$C$12</f>
        <v>-33327</v>
      </c>
      <c r="C65" s="65">
        <f t="shared" si="10"/>
        <v>6397.2513589384598</v>
      </c>
      <c r="D65" s="65">
        <f t="shared" si="11"/>
        <v>6761.7513589384598</v>
      </c>
      <c r="E65" s="65">
        <f t="shared" si="12"/>
        <v>7137.1863589384611</v>
      </c>
      <c r="F65" s="65">
        <f t="shared" si="13"/>
        <v>7523.884408938462</v>
      </c>
      <c r="G65" s="65">
        <f t="shared" si="14"/>
        <v>7922.1834004384618</v>
      </c>
      <c r="H65" s="65">
        <f t="shared" si="15"/>
        <v>8332.4313616834625</v>
      </c>
      <c r="I65" s="65">
        <f t="shared" si="16"/>
        <v>8754.986761765811</v>
      </c>
      <c r="J65" s="65">
        <f t="shared" si="17"/>
        <v>9190.2188238506333</v>
      </c>
      <c r="K65" s="65">
        <f t="shared" si="18"/>
        <v>9638.5078477979969</v>
      </c>
      <c r="L65" s="65">
        <f t="shared" si="19"/>
        <v>10100.245542463783</v>
      </c>
      <c r="M65" s="65">
        <f t="shared" si="20"/>
        <v>10575.835367969545</v>
      </c>
      <c r="N65" s="65">
        <f t="shared" si="21"/>
        <v>11065.692888240477</v>
      </c>
      <c r="O65" s="65">
        <f t="shared" si="22"/>
        <v>11570.246134119536</v>
      </c>
      <c r="P65" s="65">
        <f t="shared" si="23"/>
        <v>12089.935977374969</v>
      </c>
      <c r="Q65" s="65">
        <f t="shared" si="24"/>
        <v>12625.216515928065</v>
      </c>
      <c r="R65" s="65">
        <f t="shared" si="25"/>
        <v>13176.555470637757</v>
      </c>
      <c r="S65" s="65">
        <f t="shared" si="26"/>
        <v>13744.434593988733</v>
      </c>
      <c r="T65" s="65">
        <f t="shared" si="27"/>
        <v>14329.350091040242</v>
      </c>
      <c r="U65" s="65">
        <f t="shared" si="28"/>
        <v>14931.813053003296</v>
      </c>
      <c r="V65" s="65">
        <f t="shared" si="29"/>
        <v>15552.349903825243</v>
      </c>
      <c r="W65" s="65">
        <f t="shared" si="30"/>
        <v>16191.502860171846</v>
      </c>
      <c r="X65" s="65">
        <f t="shared" si="31"/>
        <v>16849.83040520885</v>
      </c>
      <c r="Y65" s="65">
        <f t="shared" ref="Y65:Y70" si="32">Y64</f>
        <v>17527.907776596963</v>
      </c>
      <c r="Z65" s="65">
        <f>Z38</f>
        <v>18226.327469126714</v>
      </c>
      <c r="AA65" s="65">
        <f>AA39</f>
        <v>458315.66296678525</v>
      </c>
      <c r="AB65" s="65"/>
      <c r="AC65" s="65"/>
      <c r="AD65" s="65"/>
      <c r="AE65" s="65"/>
      <c r="AF65" s="65"/>
    </row>
    <row r="66" spans="1:32" x14ac:dyDescent="0.2">
      <c r="A66" s="66">
        <f t="shared" si="9"/>
        <v>26</v>
      </c>
      <c r="B66" s="65">
        <f>-'1 Year Proforma + 30 year'!$C$12</f>
        <v>-33327</v>
      </c>
      <c r="C66" s="65">
        <f t="shared" si="10"/>
        <v>6397.2513589384598</v>
      </c>
      <c r="D66" s="65">
        <f t="shared" si="11"/>
        <v>6761.7513589384598</v>
      </c>
      <c r="E66" s="65">
        <f t="shared" si="12"/>
        <v>7137.1863589384611</v>
      </c>
      <c r="F66" s="65">
        <f t="shared" si="13"/>
        <v>7523.884408938462</v>
      </c>
      <c r="G66" s="65">
        <f t="shared" si="14"/>
        <v>7922.1834004384618</v>
      </c>
      <c r="H66" s="65">
        <f t="shared" si="15"/>
        <v>8332.4313616834625</v>
      </c>
      <c r="I66" s="65">
        <f t="shared" si="16"/>
        <v>8754.986761765811</v>
      </c>
      <c r="J66" s="65">
        <f t="shared" si="17"/>
        <v>9190.2188238506333</v>
      </c>
      <c r="K66" s="65">
        <f t="shared" si="18"/>
        <v>9638.5078477979969</v>
      </c>
      <c r="L66" s="65">
        <f t="shared" si="19"/>
        <v>10100.245542463783</v>
      </c>
      <c r="M66" s="65">
        <f t="shared" si="20"/>
        <v>10575.835367969545</v>
      </c>
      <c r="N66" s="65">
        <f t="shared" si="21"/>
        <v>11065.692888240477</v>
      </c>
      <c r="O66" s="65">
        <f t="shared" si="22"/>
        <v>11570.246134119536</v>
      </c>
      <c r="P66" s="65">
        <f t="shared" si="23"/>
        <v>12089.935977374969</v>
      </c>
      <c r="Q66" s="65">
        <f t="shared" si="24"/>
        <v>12625.216515928065</v>
      </c>
      <c r="R66" s="65">
        <f t="shared" si="25"/>
        <v>13176.555470637757</v>
      </c>
      <c r="S66" s="65">
        <f t="shared" si="26"/>
        <v>13744.434593988733</v>
      </c>
      <c r="T66" s="65">
        <f t="shared" si="27"/>
        <v>14329.350091040242</v>
      </c>
      <c r="U66" s="65">
        <f t="shared" si="28"/>
        <v>14931.813053003296</v>
      </c>
      <c r="V66" s="65">
        <f t="shared" si="29"/>
        <v>15552.349903825243</v>
      </c>
      <c r="W66" s="65">
        <f t="shared" si="30"/>
        <v>16191.502860171846</v>
      </c>
      <c r="X66" s="65">
        <f t="shared" si="31"/>
        <v>16849.83040520885</v>
      </c>
      <c r="Y66" s="65">
        <f t="shared" si="32"/>
        <v>17527.907776596963</v>
      </c>
      <c r="Z66" s="65">
        <f>Z65</f>
        <v>18226.327469126714</v>
      </c>
      <c r="AA66" s="65">
        <f>AA38</f>
        <v>18945.69975243236</v>
      </c>
      <c r="AB66" s="65">
        <f>AB39</f>
        <v>487419.30063951795</v>
      </c>
      <c r="AC66" s="65"/>
      <c r="AD66" s="65"/>
      <c r="AE66" s="65"/>
      <c r="AF66" s="65"/>
    </row>
    <row r="67" spans="1:32" x14ac:dyDescent="0.2">
      <c r="A67" s="66">
        <f t="shared" si="9"/>
        <v>27</v>
      </c>
      <c r="B67" s="65">
        <f>-'1 Year Proforma + 30 year'!$C$12</f>
        <v>-33327</v>
      </c>
      <c r="C67" s="65">
        <f t="shared" si="10"/>
        <v>6397.2513589384598</v>
      </c>
      <c r="D67" s="65">
        <f t="shared" si="11"/>
        <v>6761.7513589384598</v>
      </c>
      <c r="E67" s="65">
        <f t="shared" si="12"/>
        <v>7137.1863589384611</v>
      </c>
      <c r="F67" s="65">
        <f t="shared" si="13"/>
        <v>7523.884408938462</v>
      </c>
      <c r="G67" s="65">
        <f t="shared" si="14"/>
        <v>7922.1834004384618</v>
      </c>
      <c r="H67" s="65">
        <f t="shared" si="15"/>
        <v>8332.4313616834625</v>
      </c>
      <c r="I67" s="65">
        <f t="shared" si="16"/>
        <v>8754.986761765811</v>
      </c>
      <c r="J67" s="65">
        <f t="shared" si="17"/>
        <v>9190.2188238506333</v>
      </c>
      <c r="K67" s="65">
        <f t="shared" si="18"/>
        <v>9638.5078477979969</v>
      </c>
      <c r="L67" s="65">
        <f t="shared" si="19"/>
        <v>10100.245542463783</v>
      </c>
      <c r="M67" s="65">
        <f t="shared" si="20"/>
        <v>10575.835367969545</v>
      </c>
      <c r="N67" s="65">
        <f t="shared" si="21"/>
        <v>11065.692888240477</v>
      </c>
      <c r="O67" s="65">
        <f t="shared" si="22"/>
        <v>11570.246134119536</v>
      </c>
      <c r="P67" s="65">
        <f t="shared" si="23"/>
        <v>12089.935977374969</v>
      </c>
      <c r="Q67" s="65">
        <f t="shared" si="24"/>
        <v>12625.216515928065</v>
      </c>
      <c r="R67" s="65">
        <f t="shared" si="25"/>
        <v>13176.555470637757</v>
      </c>
      <c r="S67" s="65">
        <f t="shared" si="26"/>
        <v>13744.434593988733</v>
      </c>
      <c r="T67" s="65">
        <f t="shared" si="27"/>
        <v>14329.350091040242</v>
      </c>
      <c r="U67" s="65">
        <f t="shared" si="28"/>
        <v>14931.813053003296</v>
      </c>
      <c r="V67" s="65">
        <f t="shared" si="29"/>
        <v>15552.349903825243</v>
      </c>
      <c r="W67" s="65">
        <f t="shared" si="30"/>
        <v>16191.502860171846</v>
      </c>
      <c r="X67" s="65">
        <f t="shared" si="31"/>
        <v>16849.83040520885</v>
      </c>
      <c r="Y67" s="65">
        <f t="shared" si="32"/>
        <v>17527.907776596963</v>
      </c>
      <c r="Z67" s="65">
        <f>Z66</f>
        <v>18226.327469126714</v>
      </c>
      <c r="AA67" s="65">
        <f>AA66</f>
        <v>18945.69975243236</v>
      </c>
      <c r="AB67" s="65">
        <f>AB38</f>
        <v>19686.653204237184</v>
      </c>
      <c r="AC67" s="65">
        <f>AC39</f>
        <v>517856.5102107774</v>
      </c>
      <c r="AD67" s="65"/>
      <c r="AE67" s="65"/>
      <c r="AF67" s="65"/>
    </row>
    <row r="68" spans="1:32" x14ac:dyDescent="0.2">
      <c r="A68" s="66">
        <f t="shared" si="9"/>
        <v>28</v>
      </c>
      <c r="B68" s="65">
        <f>-'1 Year Proforma + 30 year'!$C$12</f>
        <v>-33327</v>
      </c>
      <c r="C68" s="65">
        <f t="shared" si="10"/>
        <v>6397.2513589384598</v>
      </c>
      <c r="D68" s="65">
        <f t="shared" si="11"/>
        <v>6761.7513589384598</v>
      </c>
      <c r="E68" s="65">
        <f t="shared" si="12"/>
        <v>7137.1863589384611</v>
      </c>
      <c r="F68" s="65">
        <f t="shared" si="13"/>
        <v>7523.884408938462</v>
      </c>
      <c r="G68" s="65">
        <f t="shared" si="14"/>
        <v>7922.1834004384618</v>
      </c>
      <c r="H68" s="65">
        <f t="shared" si="15"/>
        <v>8332.4313616834625</v>
      </c>
      <c r="I68" s="65">
        <f t="shared" si="16"/>
        <v>8754.986761765811</v>
      </c>
      <c r="J68" s="65">
        <f t="shared" si="17"/>
        <v>9190.2188238506333</v>
      </c>
      <c r="K68" s="65">
        <f t="shared" si="18"/>
        <v>9638.5078477979969</v>
      </c>
      <c r="L68" s="65">
        <f t="shared" si="19"/>
        <v>10100.245542463783</v>
      </c>
      <c r="M68" s="65">
        <f t="shared" si="20"/>
        <v>10575.835367969545</v>
      </c>
      <c r="N68" s="65">
        <f t="shared" si="21"/>
        <v>11065.692888240477</v>
      </c>
      <c r="O68" s="65">
        <f t="shared" si="22"/>
        <v>11570.246134119536</v>
      </c>
      <c r="P68" s="65">
        <f t="shared" si="23"/>
        <v>12089.935977374969</v>
      </c>
      <c r="Q68" s="65">
        <f t="shared" si="24"/>
        <v>12625.216515928065</v>
      </c>
      <c r="R68" s="65">
        <f t="shared" si="25"/>
        <v>13176.555470637757</v>
      </c>
      <c r="S68" s="65">
        <f t="shared" si="26"/>
        <v>13744.434593988733</v>
      </c>
      <c r="T68" s="65">
        <f t="shared" si="27"/>
        <v>14329.350091040242</v>
      </c>
      <c r="U68" s="65">
        <f t="shared" si="28"/>
        <v>14931.813053003296</v>
      </c>
      <c r="V68" s="65">
        <f t="shared" si="29"/>
        <v>15552.349903825243</v>
      </c>
      <c r="W68" s="65">
        <f t="shared" si="30"/>
        <v>16191.502860171846</v>
      </c>
      <c r="X68" s="65">
        <f t="shared" si="31"/>
        <v>16849.83040520885</v>
      </c>
      <c r="Y68" s="65">
        <f t="shared" si="32"/>
        <v>17527.907776596963</v>
      </c>
      <c r="Z68" s="65">
        <f>Z67</f>
        <v>18226.327469126714</v>
      </c>
      <c r="AA68" s="65">
        <f>AA67</f>
        <v>18945.69975243236</v>
      </c>
      <c r="AB68" s="65">
        <f>AB67</f>
        <v>19686.653204237184</v>
      </c>
      <c r="AC68" s="65">
        <f>AC38</f>
        <v>20449.835259596141</v>
      </c>
      <c r="AD68" s="65">
        <f>AD39</f>
        <v>549690.44208963006</v>
      </c>
      <c r="AE68" s="65"/>
      <c r="AF68" s="65"/>
    </row>
    <row r="69" spans="1:32" x14ac:dyDescent="0.2">
      <c r="A69" s="66">
        <f t="shared" si="9"/>
        <v>29</v>
      </c>
      <c r="B69" s="65">
        <f>-'1 Year Proforma + 30 year'!$C$12</f>
        <v>-33327</v>
      </c>
      <c r="C69" s="65">
        <f t="shared" si="10"/>
        <v>6397.2513589384598</v>
      </c>
      <c r="D69" s="65">
        <f t="shared" si="11"/>
        <v>6761.7513589384598</v>
      </c>
      <c r="E69" s="65">
        <f t="shared" si="12"/>
        <v>7137.1863589384611</v>
      </c>
      <c r="F69" s="65">
        <f t="shared" si="13"/>
        <v>7523.884408938462</v>
      </c>
      <c r="G69" s="65">
        <f t="shared" si="14"/>
        <v>7922.1834004384618</v>
      </c>
      <c r="H69" s="65">
        <f t="shared" si="15"/>
        <v>8332.4313616834625</v>
      </c>
      <c r="I69" s="65">
        <f t="shared" si="16"/>
        <v>8754.986761765811</v>
      </c>
      <c r="J69" s="65">
        <f t="shared" si="17"/>
        <v>9190.2188238506333</v>
      </c>
      <c r="K69" s="65">
        <f t="shared" si="18"/>
        <v>9638.5078477979969</v>
      </c>
      <c r="L69" s="65">
        <f t="shared" si="19"/>
        <v>10100.245542463783</v>
      </c>
      <c r="M69" s="65">
        <f t="shared" si="20"/>
        <v>10575.835367969545</v>
      </c>
      <c r="N69" s="65">
        <f t="shared" si="21"/>
        <v>11065.692888240477</v>
      </c>
      <c r="O69" s="65">
        <f t="shared" si="22"/>
        <v>11570.246134119536</v>
      </c>
      <c r="P69" s="65">
        <f t="shared" si="23"/>
        <v>12089.935977374969</v>
      </c>
      <c r="Q69" s="65">
        <f t="shared" si="24"/>
        <v>12625.216515928065</v>
      </c>
      <c r="R69" s="65">
        <f t="shared" si="25"/>
        <v>13176.555470637757</v>
      </c>
      <c r="S69" s="65">
        <f t="shared" si="26"/>
        <v>13744.434593988733</v>
      </c>
      <c r="T69" s="65">
        <f t="shared" si="27"/>
        <v>14329.350091040242</v>
      </c>
      <c r="U69" s="65">
        <f t="shared" si="28"/>
        <v>14931.813053003296</v>
      </c>
      <c r="V69" s="65">
        <f t="shared" si="29"/>
        <v>15552.349903825243</v>
      </c>
      <c r="W69" s="65">
        <f t="shared" si="30"/>
        <v>16191.502860171846</v>
      </c>
      <c r="X69" s="65">
        <f t="shared" si="31"/>
        <v>16849.83040520885</v>
      </c>
      <c r="Y69" s="65">
        <f t="shared" si="32"/>
        <v>17527.907776596963</v>
      </c>
      <c r="Z69" s="65">
        <f>Z68</f>
        <v>18226.327469126714</v>
      </c>
      <c r="AA69" s="65">
        <f>AA68</f>
        <v>18945.69975243236</v>
      </c>
      <c r="AB69" s="65">
        <f>AB68</f>
        <v>19686.653204237184</v>
      </c>
      <c r="AC69" s="65">
        <f>AC68</f>
        <v>20449.835259596141</v>
      </c>
      <c r="AD69" s="65">
        <f>AD38</f>
        <v>21235.912776615871</v>
      </c>
      <c r="AE69" s="65">
        <f>AE39</f>
        <v>582987.30182833166</v>
      </c>
      <c r="AF69" s="65"/>
    </row>
    <row r="70" spans="1:32" x14ac:dyDescent="0.2">
      <c r="A70" s="66">
        <f t="shared" si="9"/>
        <v>30</v>
      </c>
      <c r="B70" s="65">
        <f>-'1 Year Proforma + 30 year'!$C$12</f>
        <v>-33327</v>
      </c>
      <c r="C70" s="65">
        <f t="shared" si="10"/>
        <v>6397.2513589384598</v>
      </c>
      <c r="D70" s="65">
        <f t="shared" si="11"/>
        <v>6761.7513589384598</v>
      </c>
      <c r="E70" s="65">
        <f t="shared" si="12"/>
        <v>7137.1863589384611</v>
      </c>
      <c r="F70" s="65">
        <f t="shared" si="13"/>
        <v>7523.884408938462</v>
      </c>
      <c r="G70" s="65">
        <f t="shared" si="14"/>
        <v>7922.1834004384618</v>
      </c>
      <c r="H70" s="65">
        <f t="shared" si="15"/>
        <v>8332.4313616834625</v>
      </c>
      <c r="I70" s="65">
        <f t="shared" si="16"/>
        <v>8754.986761765811</v>
      </c>
      <c r="J70" s="65">
        <f t="shared" si="17"/>
        <v>9190.2188238506333</v>
      </c>
      <c r="K70" s="65">
        <f t="shared" si="18"/>
        <v>9638.5078477979969</v>
      </c>
      <c r="L70" s="65">
        <f t="shared" si="19"/>
        <v>10100.245542463783</v>
      </c>
      <c r="M70" s="65">
        <f t="shared" si="20"/>
        <v>10575.835367969545</v>
      </c>
      <c r="N70" s="65">
        <f t="shared" si="21"/>
        <v>11065.692888240477</v>
      </c>
      <c r="O70" s="65">
        <f t="shared" si="22"/>
        <v>11570.246134119536</v>
      </c>
      <c r="P70" s="65">
        <f t="shared" si="23"/>
        <v>12089.935977374969</v>
      </c>
      <c r="Q70" s="65">
        <f t="shared" si="24"/>
        <v>12625.216515928065</v>
      </c>
      <c r="R70" s="65">
        <f t="shared" si="25"/>
        <v>13176.555470637757</v>
      </c>
      <c r="S70" s="65">
        <f t="shared" si="26"/>
        <v>13744.434593988733</v>
      </c>
      <c r="T70" s="65">
        <f t="shared" si="27"/>
        <v>14329.350091040242</v>
      </c>
      <c r="U70" s="65">
        <f t="shared" si="28"/>
        <v>14931.813053003296</v>
      </c>
      <c r="V70" s="65">
        <f t="shared" si="29"/>
        <v>15552.349903825243</v>
      </c>
      <c r="W70" s="65">
        <f t="shared" si="30"/>
        <v>16191.502860171846</v>
      </c>
      <c r="X70" s="65">
        <f t="shared" si="31"/>
        <v>16849.83040520885</v>
      </c>
      <c r="Y70" s="65">
        <f t="shared" si="32"/>
        <v>17527.907776596963</v>
      </c>
      <c r="Z70" s="65">
        <f>Z69</f>
        <v>18226.327469126714</v>
      </c>
      <c r="AA70" s="65">
        <f>AA69</f>
        <v>18945.69975243236</v>
      </c>
      <c r="AB70" s="65">
        <f>AB69</f>
        <v>19686.653204237184</v>
      </c>
      <c r="AC70" s="65">
        <f>AC69</f>
        <v>20449.835259596141</v>
      </c>
      <c r="AD70" s="65">
        <f>AD69</f>
        <v>21235.912776615871</v>
      </c>
      <c r="AE70" s="65">
        <f>AE38</f>
        <v>22045.572619146194</v>
      </c>
      <c r="AF70" s="65">
        <f>AF39</f>
        <v>617816.4999083177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7"/>
  <sheetViews>
    <sheetView topLeftCell="A79" workbookViewId="0">
      <selection activeCell="G11" sqref="G11"/>
    </sheetView>
  </sheetViews>
  <sheetFormatPr baseColWidth="10" defaultColWidth="8.1640625" defaultRowHeight="14" x14ac:dyDescent="0.2"/>
  <cols>
    <col min="1" max="1" width="5.6640625" style="20" customWidth="1"/>
    <col min="2" max="2" width="14.1640625" style="43" customWidth="1"/>
    <col min="3" max="3" width="19.5" style="43" customWidth="1"/>
    <col min="4" max="8" width="13.1640625" style="43" customWidth="1"/>
    <col min="9" max="10" width="19.5" style="43" customWidth="1"/>
    <col min="11" max="11" width="8.1640625" style="10"/>
    <col min="12" max="12" width="23.6640625" style="47" customWidth="1"/>
    <col min="13" max="16384" width="8.1640625" style="10"/>
  </cols>
  <sheetData>
    <row r="1" spans="1:12" ht="24" customHeight="1" x14ac:dyDescent="0.3">
      <c r="A1" s="9" t="s">
        <v>126</v>
      </c>
      <c r="B1" s="10"/>
      <c r="C1" s="10"/>
      <c r="D1" s="10"/>
      <c r="E1" s="11"/>
      <c r="F1" s="11"/>
      <c r="G1" s="11"/>
      <c r="H1" s="11"/>
      <c r="I1" s="11"/>
      <c r="J1" s="11"/>
    </row>
    <row r="2" spans="1:12" ht="3" customHeight="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</row>
    <row r="3" spans="1:12" ht="20.25" customHeight="1" x14ac:dyDescent="0.2">
      <c r="A3" s="11"/>
      <c r="B3" s="14"/>
      <c r="C3" s="14"/>
      <c r="D3" s="14"/>
      <c r="E3" s="14"/>
      <c r="F3" s="14"/>
      <c r="G3" s="14"/>
      <c r="H3" s="14"/>
      <c r="I3" s="14"/>
      <c r="J3" s="14"/>
    </row>
    <row r="4" spans="1:12" ht="14.25" customHeight="1" x14ac:dyDescent="0.2">
      <c r="A4" s="11"/>
      <c r="B4" s="15" t="s">
        <v>127</v>
      </c>
      <c r="C4" s="15"/>
      <c r="D4" s="15"/>
      <c r="E4" s="11"/>
      <c r="F4" s="10"/>
      <c r="G4" s="10"/>
      <c r="H4" s="15" t="s">
        <v>128</v>
      </c>
      <c r="I4" s="15"/>
      <c r="J4" s="15"/>
    </row>
    <row r="5" spans="1:12" x14ac:dyDescent="0.2">
      <c r="A5" s="11"/>
      <c r="B5" s="17"/>
      <c r="C5" s="18" t="s">
        <v>129</v>
      </c>
      <c r="D5" s="48">
        <f>'1 Year Proforma + 30 year'!C43</f>
        <v>115920</v>
      </c>
      <c r="E5" s="49" t="s">
        <v>130</v>
      </c>
      <c r="F5" s="50"/>
      <c r="G5" s="50"/>
      <c r="H5" s="17"/>
      <c r="I5" s="21" t="s">
        <v>131</v>
      </c>
      <c r="J5" s="22">
        <f>IF(Values_Entered,-PMT(Interest_Rate/Num_Pmt_Per_Year,Loan_Years*Num_Pmt_Per_Year,Loan_Amount),"")</f>
        <v>479.39572008846164</v>
      </c>
    </row>
    <row r="6" spans="1:12" x14ac:dyDescent="0.2">
      <c r="A6" s="11"/>
      <c r="B6" s="17"/>
      <c r="C6" s="18" t="s">
        <v>132</v>
      </c>
      <c r="D6" s="51">
        <f>'1 Year Proforma + 30 year'!C47</f>
        <v>2.8500000000000001E-2</v>
      </c>
      <c r="E6" s="49" t="s">
        <v>133</v>
      </c>
      <c r="F6" s="50"/>
      <c r="G6" s="50"/>
      <c r="H6" s="17"/>
      <c r="I6" s="21" t="s">
        <v>134</v>
      </c>
      <c r="J6" s="24">
        <f>IF(Values_Entered,Loan_Years*Num_Pmt_Per_Year,"")</f>
        <v>360</v>
      </c>
    </row>
    <row r="7" spans="1:12" x14ac:dyDescent="0.2">
      <c r="A7" s="11"/>
      <c r="B7" s="17"/>
      <c r="C7" s="18" t="s">
        <v>135</v>
      </c>
      <c r="D7" s="52">
        <v>30</v>
      </c>
      <c r="E7" s="11"/>
      <c r="F7" s="10"/>
      <c r="G7" s="10"/>
      <c r="H7" s="17"/>
      <c r="I7" s="21" t="s">
        <v>136</v>
      </c>
      <c r="J7" s="24">
        <f>IF(Values_Entered,Number_of_Payments,"")</f>
        <v>360</v>
      </c>
    </row>
    <row r="8" spans="1:12" x14ac:dyDescent="0.2">
      <c r="A8" s="11"/>
      <c r="B8" s="17"/>
      <c r="C8" s="18" t="s">
        <v>137</v>
      </c>
      <c r="D8" s="52">
        <v>12</v>
      </c>
      <c r="E8" s="11"/>
      <c r="F8" s="10"/>
      <c r="G8" s="10"/>
      <c r="H8" s="17"/>
      <c r="I8" s="21" t="s">
        <v>138</v>
      </c>
      <c r="J8" s="22">
        <f>IF(Values_Entered,SUMIF(Beg_Bal,"&gt;0",Extra_Pay),"")</f>
        <v>0</v>
      </c>
    </row>
    <row r="9" spans="1:12" x14ac:dyDescent="0.2">
      <c r="A9" s="11"/>
      <c r="B9" s="17"/>
      <c r="C9" s="18" t="s">
        <v>139</v>
      </c>
      <c r="D9" s="53">
        <v>41974</v>
      </c>
      <c r="E9" s="11"/>
      <c r="F9" s="10"/>
      <c r="G9" s="10"/>
      <c r="H9" s="25"/>
      <c r="I9" s="26" t="s">
        <v>140</v>
      </c>
      <c r="J9" s="22">
        <f>IF(Values_Entered,SUMIF(Beg_Bal,"&gt;0",Int),"")</f>
        <v>56662.459231846187</v>
      </c>
    </row>
    <row r="10" spans="1:12" x14ac:dyDescent="0.2">
      <c r="A10" s="11"/>
      <c r="B10" s="25"/>
      <c r="C10" s="27" t="s">
        <v>141</v>
      </c>
      <c r="D10" s="28"/>
      <c r="E10" s="11"/>
      <c r="F10" s="14"/>
      <c r="G10" s="14"/>
      <c r="H10" s="14"/>
      <c r="I10" s="14"/>
      <c r="J10" s="11"/>
    </row>
    <row r="11" spans="1:12" x14ac:dyDescent="0.2">
      <c r="A11" s="11"/>
      <c r="B11" s="14"/>
      <c r="C11" s="14"/>
      <c r="D11" s="14"/>
      <c r="E11" s="14"/>
      <c r="F11" s="14"/>
      <c r="G11" s="14"/>
      <c r="H11" s="14"/>
      <c r="I11" s="14"/>
      <c r="J11" s="14"/>
    </row>
    <row r="12" spans="1:12" x14ac:dyDescent="0.2">
      <c r="A12" s="11"/>
      <c r="B12" s="18" t="s">
        <v>142</v>
      </c>
      <c r="C12" s="29"/>
      <c r="D12" s="29"/>
      <c r="E12" s="14"/>
      <c r="F12" s="14"/>
      <c r="G12" s="14"/>
      <c r="H12" s="14"/>
      <c r="I12" s="14"/>
      <c r="J12" s="14"/>
    </row>
    <row r="13" spans="1:12" x14ac:dyDescent="0.2">
      <c r="A13" s="11"/>
      <c r="B13" s="18"/>
      <c r="C13" s="30"/>
      <c r="D13" s="30"/>
      <c r="E13" s="14"/>
      <c r="F13" s="14"/>
      <c r="G13" s="14"/>
      <c r="H13" s="14"/>
      <c r="I13" s="14"/>
      <c r="J13" s="14"/>
    </row>
    <row r="14" spans="1:12" ht="6" customHeight="1" x14ac:dyDescent="0.2">
      <c r="A14" s="54"/>
      <c r="B14" s="55"/>
      <c r="C14" s="55"/>
      <c r="D14" s="55"/>
      <c r="E14" s="55"/>
      <c r="F14" s="55"/>
      <c r="G14" s="55"/>
      <c r="H14" s="55"/>
      <c r="I14" s="55"/>
      <c r="J14" s="55"/>
    </row>
    <row r="15" spans="1:12" ht="3.75" customHeight="1" x14ac:dyDescent="0.2">
      <c r="A15" s="44"/>
      <c r="B15" s="46"/>
      <c r="C15" s="46"/>
      <c r="D15" s="46"/>
      <c r="E15" s="46"/>
      <c r="F15" s="46"/>
      <c r="G15" s="46"/>
      <c r="H15" s="46"/>
      <c r="I15" s="46"/>
      <c r="J15" s="46"/>
    </row>
    <row r="16" spans="1:12" s="34" customFormat="1" ht="30" x14ac:dyDescent="0.2">
      <c r="A16" s="31" t="s">
        <v>143</v>
      </c>
      <c r="B16" s="32" t="s">
        <v>144</v>
      </c>
      <c r="C16" s="32" t="s">
        <v>145</v>
      </c>
      <c r="D16" s="32" t="s">
        <v>146</v>
      </c>
      <c r="E16" s="32" t="s">
        <v>147</v>
      </c>
      <c r="F16" s="32" t="s">
        <v>148</v>
      </c>
      <c r="G16" s="32" t="s">
        <v>149</v>
      </c>
      <c r="H16" s="32" t="s">
        <v>150</v>
      </c>
      <c r="I16" s="32" t="s">
        <v>151</v>
      </c>
      <c r="J16" s="33" t="s">
        <v>152</v>
      </c>
      <c r="L16" s="56" t="s">
        <v>153</v>
      </c>
    </row>
    <row r="17" spans="1:12" s="34" customFormat="1" ht="6" customHeight="1" x14ac:dyDescent="0.2">
      <c r="A17" s="57"/>
      <c r="B17" s="58"/>
      <c r="C17" s="58"/>
      <c r="D17" s="58"/>
      <c r="E17" s="58"/>
      <c r="F17" s="58"/>
      <c r="G17" s="58"/>
      <c r="H17" s="58"/>
      <c r="I17" s="58"/>
      <c r="J17" s="58"/>
      <c r="L17" s="56"/>
    </row>
    <row r="18" spans="1:12" s="34" customFormat="1" x14ac:dyDescent="0.2">
      <c r="A18" s="35">
        <f>IF(Values_Entered,1,"")</f>
        <v>1</v>
      </c>
      <c r="B18" s="36">
        <f t="shared" ref="B18:B81" si="0">IF(Pay_Num&lt;&gt;"",DATE(YEAR(Loan_Start),MONTH(Loan_Start)+(Pay_Num)*12/Num_Pmt_Per_Year,DAY(Loan_Start)),"")</f>
        <v>42005</v>
      </c>
      <c r="C18" s="37">
        <f>IF(Values_Entered,Loan_Amount,"")</f>
        <v>115920</v>
      </c>
      <c r="D18" s="38">
        <f>IF(Pay_Num&lt;&gt;"",Scheduled_Monthly_Payment,"")</f>
        <v>479.39572008846164</v>
      </c>
      <c r="E18" s="59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38">
        <f t="shared" ref="F18:F81" si="2">IF(AND(Pay_Num&lt;&gt;"",Sched_Pay+Extra_Pay&lt;Beg_Bal),Sched_Pay+Extra_Pay,IF(Pay_Num&lt;&gt;"",Beg_Bal,""))</f>
        <v>479.39572008846164</v>
      </c>
      <c r="G18" s="38">
        <f>IF(Pay_Num&lt;&gt;"",Total_Pay-Int,"")</f>
        <v>204.08572008846164</v>
      </c>
      <c r="H18" s="38">
        <f>IF(Pay_Num&lt;&gt;"",Beg_Bal*(Interest_Rate/Num_Pmt_Per_Year),"")</f>
        <v>275.31</v>
      </c>
      <c r="I18" s="38">
        <f t="shared" ref="I18:I81" si="3">IF(AND(Pay_Num&lt;&gt;"",Sched_Pay+Extra_Pay&lt;Beg_Bal),Beg_Bal-Princ,IF(Pay_Num&lt;&gt;"",0,""))</f>
        <v>115715.91427991154</v>
      </c>
      <c r="J18" s="38">
        <f>SUM($H$18:$H18)</f>
        <v>275.31</v>
      </c>
      <c r="L18" s="56">
        <f t="shared" ref="L18:L81" si="4">G18/F18</f>
        <v>0.42571452254684761</v>
      </c>
    </row>
    <row r="19" spans="1:12" s="34" customFormat="1" ht="16.75" customHeight="1" x14ac:dyDescent="0.2">
      <c r="A19" s="35">
        <f t="shared" ref="A19:A82" si="5">IF(Values_Entered,A18+1,"")</f>
        <v>2</v>
      </c>
      <c r="B19" s="36">
        <f t="shared" si="0"/>
        <v>42036</v>
      </c>
      <c r="C19" s="37">
        <f t="shared" ref="C19:C82" si="6">IF(Pay_Num&lt;&gt;"",I18,"")</f>
        <v>115715.91427991154</v>
      </c>
      <c r="D19" s="38">
        <f>IF(Pay_Num&lt;&gt;"",Scheduled_Monthly_Payment,"")</f>
        <v>479.39572008846164</v>
      </c>
      <c r="E19" s="59">
        <f t="shared" si="1"/>
        <v>0</v>
      </c>
      <c r="F19" s="38">
        <f t="shared" si="2"/>
        <v>479.39572008846164</v>
      </c>
      <c r="G19" s="38">
        <f t="shared" ref="G19:G82" si="7">IF(Pay_Num&lt;&gt;"",Total_Pay-Int,"")</f>
        <v>204.57042367367177</v>
      </c>
      <c r="H19" s="38">
        <f t="shared" ref="H19:H82" si="8">IF(Pay_Num&lt;&gt;"",Beg_Bal*Interest_Rate/Num_Pmt_Per_Year,"")</f>
        <v>274.82529641478988</v>
      </c>
      <c r="I19" s="38">
        <f t="shared" si="3"/>
        <v>115511.34385623786</v>
      </c>
      <c r="J19" s="38">
        <f>SUM($H$18:$H19)</f>
        <v>550.13529641478988</v>
      </c>
      <c r="L19" s="56">
        <f t="shared" si="4"/>
        <v>0.42672559453789644</v>
      </c>
    </row>
    <row r="20" spans="1:12" s="34" customFormat="1" ht="15.75" customHeight="1" x14ac:dyDescent="0.2">
      <c r="A20" s="35">
        <f t="shared" si="5"/>
        <v>3</v>
      </c>
      <c r="B20" s="36">
        <f t="shared" si="0"/>
        <v>42064</v>
      </c>
      <c r="C20" s="37">
        <f t="shared" si="6"/>
        <v>115511.34385623786</v>
      </c>
      <c r="D20" s="38">
        <f t="shared" ref="D20:D83" si="9">IF(Pay_Num&lt;&gt;"",Scheduled_Monthly_Payment,"")</f>
        <v>479.39572008846164</v>
      </c>
      <c r="E20" s="59">
        <f t="shared" si="1"/>
        <v>0</v>
      </c>
      <c r="F20" s="38">
        <f t="shared" si="2"/>
        <v>479.39572008846164</v>
      </c>
      <c r="G20" s="38">
        <f t="shared" si="7"/>
        <v>205.05627842989674</v>
      </c>
      <c r="H20" s="38">
        <f t="shared" si="8"/>
        <v>274.33944165856491</v>
      </c>
      <c r="I20" s="38">
        <f t="shared" si="3"/>
        <v>115306.28757780796</v>
      </c>
      <c r="J20" s="38">
        <f>SUM($H$18:$H20)</f>
        <v>824.47473807335473</v>
      </c>
      <c r="L20" s="56">
        <f t="shared" si="4"/>
        <v>0.42773906782492394</v>
      </c>
    </row>
    <row r="21" spans="1:12" s="34" customFormat="1" x14ac:dyDescent="0.2">
      <c r="A21" s="35">
        <f t="shared" si="5"/>
        <v>4</v>
      </c>
      <c r="B21" s="36">
        <f t="shared" si="0"/>
        <v>42095</v>
      </c>
      <c r="C21" s="37">
        <f t="shared" si="6"/>
        <v>115306.28757780796</v>
      </c>
      <c r="D21" s="38">
        <f>IF(Pay_Num&lt;&gt;"",Scheduled_Monthly_Payment,"")</f>
        <v>479.39572008846164</v>
      </c>
      <c r="E21" s="59">
        <f t="shared" si="1"/>
        <v>0</v>
      </c>
      <c r="F21" s="38">
        <f t="shared" si="2"/>
        <v>479.39572008846164</v>
      </c>
      <c r="G21" s="38">
        <f t="shared" si="7"/>
        <v>205.54328709116771</v>
      </c>
      <c r="H21" s="38">
        <f t="shared" si="8"/>
        <v>273.85243299729393</v>
      </c>
      <c r="I21" s="38">
        <f t="shared" si="3"/>
        <v>115100.7442907168</v>
      </c>
      <c r="J21" s="38">
        <f>SUM($H$18:$H21)</f>
        <v>1098.3271710706485</v>
      </c>
      <c r="L21" s="56">
        <f t="shared" si="4"/>
        <v>0.42875494811100806</v>
      </c>
    </row>
    <row r="22" spans="1:12" s="34" customFormat="1" x14ac:dyDescent="0.2">
      <c r="A22" s="35">
        <f t="shared" si="5"/>
        <v>5</v>
      </c>
      <c r="B22" s="36">
        <f t="shared" si="0"/>
        <v>42125</v>
      </c>
      <c r="C22" s="37">
        <f t="shared" si="6"/>
        <v>115100.7442907168</v>
      </c>
      <c r="D22" s="38">
        <f t="shared" si="9"/>
        <v>479.39572008846164</v>
      </c>
      <c r="E22" s="59">
        <f t="shared" si="1"/>
        <v>0</v>
      </c>
      <c r="F22" s="38">
        <f t="shared" si="2"/>
        <v>479.39572008846164</v>
      </c>
      <c r="G22" s="38">
        <f t="shared" si="7"/>
        <v>206.03145239800921</v>
      </c>
      <c r="H22" s="38">
        <f t="shared" si="8"/>
        <v>273.36426769045244</v>
      </c>
      <c r="I22" s="38">
        <f t="shared" si="3"/>
        <v>114894.7128383188</v>
      </c>
      <c r="J22" s="38">
        <f>SUM($H$18:$H22)</f>
        <v>1371.6914387611009</v>
      </c>
      <c r="L22" s="56">
        <f t="shared" si="4"/>
        <v>0.42977324111277165</v>
      </c>
    </row>
    <row r="23" spans="1:12" x14ac:dyDescent="0.2">
      <c r="A23" s="35">
        <f t="shared" si="5"/>
        <v>6</v>
      </c>
      <c r="B23" s="36">
        <f t="shared" si="0"/>
        <v>42156</v>
      </c>
      <c r="C23" s="37">
        <f t="shared" si="6"/>
        <v>114894.7128383188</v>
      </c>
      <c r="D23" s="38">
        <f t="shared" si="9"/>
        <v>479.39572008846164</v>
      </c>
      <c r="E23" s="59">
        <f t="shared" si="1"/>
        <v>0</v>
      </c>
      <c r="F23" s="38">
        <f t="shared" si="2"/>
        <v>479.39572008846164</v>
      </c>
      <c r="G23" s="38">
        <f t="shared" si="7"/>
        <v>206.52077709745453</v>
      </c>
      <c r="H23" s="38">
        <f t="shared" si="8"/>
        <v>272.87494299100712</v>
      </c>
      <c r="I23" s="38">
        <f t="shared" si="3"/>
        <v>114688.19206122134</v>
      </c>
      <c r="J23" s="38">
        <f>SUM($H$18:$H23)</f>
        <v>1644.5663817521081</v>
      </c>
      <c r="L23" s="56">
        <f t="shared" si="4"/>
        <v>0.43079395256041458</v>
      </c>
    </row>
    <row r="24" spans="1:12" x14ac:dyDescent="0.2">
      <c r="A24" s="35">
        <f t="shared" si="5"/>
        <v>7</v>
      </c>
      <c r="B24" s="36">
        <f t="shared" si="0"/>
        <v>42186</v>
      </c>
      <c r="C24" s="37">
        <f t="shared" si="6"/>
        <v>114688.19206122134</v>
      </c>
      <c r="D24" s="38">
        <f t="shared" si="9"/>
        <v>479.39572008846164</v>
      </c>
      <c r="E24" s="59">
        <f t="shared" si="1"/>
        <v>0</v>
      </c>
      <c r="F24" s="38">
        <f t="shared" si="2"/>
        <v>479.39572008846164</v>
      </c>
      <c r="G24" s="38">
        <f t="shared" si="7"/>
        <v>207.01126394306095</v>
      </c>
      <c r="H24" s="38">
        <f t="shared" si="8"/>
        <v>272.38445614540069</v>
      </c>
      <c r="I24" s="38">
        <f t="shared" si="3"/>
        <v>114481.18079727828</v>
      </c>
      <c r="J24" s="38">
        <f>SUM($H$18:$H24)</f>
        <v>1916.9508378975088</v>
      </c>
      <c r="L24" s="56">
        <f t="shared" si="4"/>
        <v>0.4318170881977455</v>
      </c>
    </row>
    <row r="25" spans="1:12" x14ac:dyDescent="0.2">
      <c r="A25" s="35">
        <f t="shared" si="5"/>
        <v>8</v>
      </c>
      <c r="B25" s="36">
        <f t="shared" si="0"/>
        <v>42217</v>
      </c>
      <c r="C25" s="37">
        <f t="shared" si="6"/>
        <v>114481.18079727828</v>
      </c>
      <c r="D25" s="38">
        <f t="shared" si="9"/>
        <v>479.39572008846164</v>
      </c>
      <c r="E25" s="59">
        <f t="shared" si="1"/>
        <v>0</v>
      </c>
      <c r="F25" s="38">
        <f t="shared" si="2"/>
        <v>479.39572008846164</v>
      </c>
      <c r="G25" s="38">
        <f t="shared" si="7"/>
        <v>207.50291569492572</v>
      </c>
      <c r="H25" s="38">
        <f t="shared" si="8"/>
        <v>271.89280439353593</v>
      </c>
      <c r="I25" s="38">
        <f t="shared" si="3"/>
        <v>114273.67788158335</v>
      </c>
      <c r="J25" s="38">
        <f>SUM($H$18:$H25)</f>
        <v>2188.8436422910445</v>
      </c>
      <c r="L25" s="56">
        <f t="shared" si="4"/>
        <v>0.43284265378221515</v>
      </c>
    </row>
    <row r="26" spans="1:12" x14ac:dyDescent="0.2">
      <c r="A26" s="35">
        <f t="shared" si="5"/>
        <v>9</v>
      </c>
      <c r="B26" s="36">
        <f t="shared" si="0"/>
        <v>42248</v>
      </c>
      <c r="C26" s="37">
        <f t="shared" si="6"/>
        <v>114273.67788158335</v>
      </c>
      <c r="D26" s="38">
        <f t="shared" si="9"/>
        <v>479.39572008846164</v>
      </c>
      <c r="E26" s="59">
        <f t="shared" si="1"/>
        <v>0</v>
      </c>
      <c r="F26" s="38">
        <f t="shared" si="2"/>
        <v>479.39572008846164</v>
      </c>
      <c r="G26" s="38">
        <f t="shared" si="7"/>
        <v>207.99573511970118</v>
      </c>
      <c r="H26" s="38">
        <f t="shared" si="8"/>
        <v>271.39998496876046</v>
      </c>
      <c r="I26" s="38">
        <f t="shared" si="3"/>
        <v>114065.68214646365</v>
      </c>
      <c r="J26" s="38">
        <f>SUM($H$18:$H26)</f>
        <v>2460.2436272598052</v>
      </c>
      <c r="L26" s="56">
        <f t="shared" si="4"/>
        <v>0.43387065508494793</v>
      </c>
    </row>
    <row r="27" spans="1:12" x14ac:dyDescent="0.2">
      <c r="A27" s="35">
        <f t="shared" si="5"/>
        <v>10</v>
      </c>
      <c r="B27" s="36">
        <f t="shared" si="0"/>
        <v>42278</v>
      </c>
      <c r="C27" s="37">
        <f t="shared" si="6"/>
        <v>114065.68214646365</v>
      </c>
      <c r="D27" s="38">
        <f t="shared" si="9"/>
        <v>479.39572008846164</v>
      </c>
      <c r="E27" s="59">
        <f t="shared" si="1"/>
        <v>0</v>
      </c>
      <c r="F27" s="38">
        <f t="shared" si="2"/>
        <v>479.39572008846164</v>
      </c>
      <c r="G27" s="38">
        <f t="shared" si="7"/>
        <v>208.48972499061045</v>
      </c>
      <c r="H27" s="38">
        <f t="shared" si="8"/>
        <v>270.90599509785119</v>
      </c>
      <c r="I27" s="38">
        <f t="shared" si="3"/>
        <v>113857.19242147304</v>
      </c>
      <c r="J27" s="38">
        <f>SUM($H$18:$H27)</f>
        <v>2731.1496223576564</v>
      </c>
      <c r="L27" s="56">
        <f t="shared" si="4"/>
        <v>0.43490109789077463</v>
      </c>
    </row>
    <row r="28" spans="1:12" x14ac:dyDescent="0.2">
      <c r="A28" s="35">
        <f t="shared" si="5"/>
        <v>11</v>
      </c>
      <c r="B28" s="36">
        <f t="shared" si="0"/>
        <v>42309</v>
      </c>
      <c r="C28" s="37">
        <f t="shared" si="6"/>
        <v>113857.19242147304</v>
      </c>
      <c r="D28" s="38">
        <f t="shared" si="9"/>
        <v>479.39572008846164</v>
      </c>
      <c r="E28" s="59">
        <f t="shared" si="1"/>
        <v>0</v>
      </c>
      <c r="F28" s="38">
        <f t="shared" si="2"/>
        <v>479.39572008846164</v>
      </c>
      <c r="G28" s="38">
        <f t="shared" si="7"/>
        <v>208.98488808746316</v>
      </c>
      <c r="H28" s="38">
        <f t="shared" si="8"/>
        <v>270.41083200099848</v>
      </c>
      <c r="I28" s="38">
        <f t="shared" si="3"/>
        <v>113648.20753338558</v>
      </c>
      <c r="J28" s="38">
        <f>SUM($H$18:$H28)</f>
        <v>3001.5604543586551</v>
      </c>
      <c r="L28" s="56">
        <f t="shared" si="4"/>
        <v>0.43593398799826522</v>
      </c>
    </row>
    <row r="29" spans="1:12" x14ac:dyDescent="0.2">
      <c r="A29" s="35">
        <f t="shared" si="5"/>
        <v>12</v>
      </c>
      <c r="B29" s="36">
        <f t="shared" si="0"/>
        <v>42339</v>
      </c>
      <c r="C29" s="37">
        <f t="shared" si="6"/>
        <v>113648.20753338558</v>
      </c>
      <c r="D29" s="38">
        <f t="shared" si="9"/>
        <v>479.39572008846164</v>
      </c>
      <c r="E29" s="59">
        <f t="shared" si="1"/>
        <v>0</v>
      </c>
      <c r="F29" s="38">
        <f t="shared" si="2"/>
        <v>479.39572008846164</v>
      </c>
      <c r="G29" s="38">
        <f t="shared" si="7"/>
        <v>209.48122719667089</v>
      </c>
      <c r="H29" s="38">
        <f t="shared" si="8"/>
        <v>269.91449289179076</v>
      </c>
      <c r="I29" s="38">
        <f t="shared" si="3"/>
        <v>113438.72630618891</v>
      </c>
      <c r="J29" s="38">
        <f>SUM($H$18:$H29)</f>
        <v>3271.4749472504459</v>
      </c>
      <c r="K29" s="1"/>
      <c r="L29" s="56">
        <f t="shared" si="4"/>
        <v>0.43696933121976111</v>
      </c>
    </row>
    <row r="30" spans="1:12" x14ac:dyDescent="0.2">
      <c r="A30" s="35">
        <f t="shared" si="5"/>
        <v>13</v>
      </c>
      <c r="B30" s="36">
        <f t="shared" si="0"/>
        <v>42370</v>
      </c>
      <c r="C30" s="37">
        <f t="shared" si="6"/>
        <v>113438.72630618891</v>
      </c>
      <c r="D30" s="38">
        <f t="shared" si="9"/>
        <v>479.39572008846164</v>
      </c>
      <c r="E30" s="59">
        <f t="shared" si="1"/>
        <v>0</v>
      </c>
      <c r="F30" s="38">
        <f t="shared" si="2"/>
        <v>479.39572008846164</v>
      </c>
      <c r="G30" s="38">
        <f t="shared" si="7"/>
        <v>209.97874511126298</v>
      </c>
      <c r="H30" s="38">
        <f t="shared" si="8"/>
        <v>269.41697497719866</v>
      </c>
      <c r="I30" s="38">
        <f t="shared" si="3"/>
        <v>113228.74756107765</v>
      </c>
      <c r="J30" s="38">
        <f>SUM($H$18:$H30)</f>
        <v>3540.8919222276445</v>
      </c>
      <c r="K30" s="34"/>
      <c r="L30" s="56">
        <f t="shared" si="4"/>
        <v>0.43800713338140806</v>
      </c>
    </row>
    <row r="31" spans="1:12" x14ac:dyDescent="0.2">
      <c r="A31" s="35">
        <f t="shared" si="5"/>
        <v>14</v>
      </c>
      <c r="B31" s="36">
        <f t="shared" si="0"/>
        <v>42401</v>
      </c>
      <c r="C31" s="37">
        <f t="shared" si="6"/>
        <v>113228.74756107765</v>
      </c>
      <c r="D31" s="38">
        <f t="shared" si="9"/>
        <v>479.39572008846164</v>
      </c>
      <c r="E31" s="59">
        <f t="shared" si="1"/>
        <v>0</v>
      </c>
      <c r="F31" s="38">
        <f t="shared" si="2"/>
        <v>479.39572008846164</v>
      </c>
      <c r="G31" s="38">
        <f t="shared" si="7"/>
        <v>210.4774446309022</v>
      </c>
      <c r="H31" s="38">
        <f t="shared" si="8"/>
        <v>268.91827545755945</v>
      </c>
      <c r="I31" s="38">
        <f t="shared" si="3"/>
        <v>113018.27011644674</v>
      </c>
      <c r="J31" s="38">
        <f>SUM($H$18:$H31)</f>
        <v>3809.810197685204</v>
      </c>
      <c r="K31" s="34"/>
      <c r="L31" s="56">
        <f t="shared" si="4"/>
        <v>0.43904740032318884</v>
      </c>
    </row>
    <row r="32" spans="1:12" x14ac:dyDescent="0.2">
      <c r="A32" s="35">
        <f t="shared" si="5"/>
        <v>15</v>
      </c>
      <c r="B32" s="36">
        <f t="shared" si="0"/>
        <v>42430</v>
      </c>
      <c r="C32" s="37">
        <f t="shared" si="6"/>
        <v>113018.27011644674</v>
      </c>
      <c r="D32" s="38">
        <f t="shared" si="9"/>
        <v>479.39572008846164</v>
      </c>
      <c r="E32" s="59">
        <f t="shared" si="1"/>
        <v>0</v>
      </c>
      <c r="F32" s="38">
        <f t="shared" si="2"/>
        <v>479.39572008846164</v>
      </c>
      <c r="G32" s="38">
        <f t="shared" si="7"/>
        <v>210.97732856190061</v>
      </c>
      <c r="H32" s="38">
        <f t="shared" si="8"/>
        <v>268.41839152656104</v>
      </c>
      <c r="I32" s="38">
        <f t="shared" si="3"/>
        <v>112807.29278788484</v>
      </c>
      <c r="J32" s="38">
        <f>SUM($H$18:$H32)</f>
        <v>4078.2285892117652</v>
      </c>
      <c r="K32" s="34"/>
      <c r="L32" s="56">
        <f t="shared" si="4"/>
        <v>0.44009013789895646</v>
      </c>
    </row>
    <row r="33" spans="1:12" x14ac:dyDescent="0.2">
      <c r="A33" s="35">
        <f t="shared" si="5"/>
        <v>16</v>
      </c>
      <c r="B33" s="36">
        <f t="shared" si="0"/>
        <v>42461</v>
      </c>
      <c r="C33" s="37">
        <f t="shared" si="6"/>
        <v>112807.29278788484</v>
      </c>
      <c r="D33" s="38">
        <f t="shared" si="9"/>
        <v>479.39572008846164</v>
      </c>
      <c r="E33" s="59">
        <f t="shared" si="1"/>
        <v>0</v>
      </c>
      <c r="F33" s="38">
        <f t="shared" si="2"/>
        <v>479.39572008846164</v>
      </c>
      <c r="G33" s="38">
        <f t="shared" si="7"/>
        <v>211.47839971723516</v>
      </c>
      <c r="H33" s="38">
        <f t="shared" si="8"/>
        <v>267.91732037122648</v>
      </c>
      <c r="I33" s="38">
        <f t="shared" si="3"/>
        <v>112595.81438816761</v>
      </c>
      <c r="J33" s="38">
        <f>SUM($H$18:$H33)</f>
        <v>4346.1459095829914</v>
      </c>
      <c r="K33" s="34"/>
      <c r="L33" s="56">
        <f t="shared" si="4"/>
        <v>0.44113535197646653</v>
      </c>
    </row>
    <row r="34" spans="1:12" x14ac:dyDescent="0.2">
      <c r="A34" s="35">
        <f t="shared" si="5"/>
        <v>17</v>
      </c>
      <c r="B34" s="36">
        <f t="shared" si="0"/>
        <v>42491</v>
      </c>
      <c r="C34" s="37">
        <f t="shared" si="6"/>
        <v>112595.81438816761</v>
      </c>
      <c r="D34" s="38">
        <f t="shared" si="9"/>
        <v>479.39572008846164</v>
      </c>
      <c r="E34" s="59">
        <f t="shared" si="1"/>
        <v>0</v>
      </c>
      <c r="F34" s="38">
        <f t="shared" si="2"/>
        <v>479.39572008846164</v>
      </c>
      <c r="G34" s="38">
        <f t="shared" si="7"/>
        <v>211.98066091656358</v>
      </c>
      <c r="H34" s="38">
        <f t="shared" si="8"/>
        <v>267.41505917189806</v>
      </c>
      <c r="I34" s="38">
        <f t="shared" si="3"/>
        <v>112383.83372725104</v>
      </c>
      <c r="J34" s="38">
        <f>SUM($H$18:$H34)</f>
        <v>4613.5609687548895</v>
      </c>
      <c r="K34" s="34"/>
      <c r="L34" s="56">
        <f t="shared" si="4"/>
        <v>0.44218304843741063</v>
      </c>
    </row>
    <row r="35" spans="1:12" x14ac:dyDescent="0.2">
      <c r="A35" s="35">
        <f t="shared" si="5"/>
        <v>18</v>
      </c>
      <c r="B35" s="36">
        <f t="shared" si="0"/>
        <v>42522</v>
      </c>
      <c r="C35" s="37">
        <f t="shared" si="6"/>
        <v>112383.83372725104</v>
      </c>
      <c r="D35" s="38">
        <f t="shared" si="9"/>
        <v>479.39572008846164</v>
      </c>
      <c r="E35" s="59">
        <f t="shared" si="1"/>
        <v>0</v>
      </c>
      <c r="F35" s="38">
        <f t="shared" si="2"/>
        <v>479.39572008846164</v>
      </c>
      <c r="G35" s="38">
        <f t="shared" si="7"/>
        <v>212.4841149862404</v>
      </c>
      <c r="H35" s="38">
        <f t="shared" si="8"/>
        <v>266.91160510222124</v>
      </c>
      <c r="I35" s="38">
        <f t="shared" si="3"/>
        <v>112171.34961226481</v>
      </c>
      <c r="J35" s="38">
        <f>SUM($H$18:$H35)</f>
        <v>4880.4725738571105</v>
      </c>
      <c r="L35" s="56">
        <f t="shared" si="4"/>
        <v>0.44323323317744945</v>
      </c>
    </row>
    <row r="36" spans="1:12" x14ac:dyDescent="0.2">
      <c r="A36" s="35">
        <f t="shared" si="5"/>
        <v>19</v>
      </c>
      <c r="B36" s="36">
        <f t="shared" si="0"/>
        <v>42552</v>
      </c>
      <c r="C36" s="37">
        <f t="shared" si="6"/>
        <v>112171.34961226481</v>
      </c>
      <c r="D36" s="38">
        <f t="shared" si="9"/>
        <v>479.39572008846164</v>
      </c>
      <c r="E36" s="59">
        <f t="shared" si="1"/>
        <v>0</v>
      </c>
      <c r="F36" s="38">
        <f t="shared" si="2"/>
        <v>479.39572008846164</v>
      </c>
      <c r="G36" s="38">
        <f t="shared" si="7"/>
        <v>212.9887647593327</v>
      </c>
      <c r="H36" s="38">
        <f t="shared" si="8"/>
        <v>266.40695532912895</v>
      </c>
      <c r="I36" s="38">
        <f t="shared" si="3"/>
        <v>111958.36084750548</v>
      </c>
      <c r="J36" s="38">
        <f>SUM($H$18:$H36)</f>
        <v>5146.8795291862398</v>
      </c>
      <c r="L36" s="56">
        <f t="shared" si="4"/>
        <v>0.44428591210624585</v>
      </c>
    </row>
    <row r="37" spans="1:12" x14ac:dyDescent="0.2">
      <c r="A37" s="35">
        <f t="shared" si="5"/>
        <v>20</v>
      </c>
      <c r="B37" s="36">
        <f t="shared" si="0"/>
        <v>42583</v>
      </c>
      <c r="C37" s="37">
        <f t="shared" si="6"/>
        <v>111958.36084750548</v>
      </c>
      <c r="D37" s="38">
        <f t="shared" si="9"/>
        <v>479.39572008846164</v>
      </c>
      <c r="E37" s="59">
        <f t="shared" si="1"/>
        <v>0</v>
      </c>
      <c r="F37" s="38">
        <f t="shared" si="2"/>
        <v>479.39572008846164</v>
      </c>
      <c r="G37" s="38">
        <f t="shared" si="7"/>
        <v>213.4946130756361</v>
      </c>
      <c r="H37" s="38">
        <f t="shared" si="8"/>
        <v>265.90110701282555</v>
      </c>
      <c r="I37" s="38">
        <f t="shared" si="3"/>
        <v>111744.86623442985</v>
      </c>
      <c r="J37" s="38">
        <f>SUM($H$18:$H37)</f>
        <v>5412.7806361990652</v>
      </c>
      <c r="L37" s="56">
        <f t="shared" si="4"/>
        <v>0.44534109114749815</v>
      </c>
    </row>
    <row r="38" spans="1:12" x14ac:dyDescent="0.2">
      <c r="A38" s="35">
        <f t="shared" si="5"/>
        <v>21</v>
      </c>
      <c r="B38" s="36">
        <f t="shared" si="0"/>
        <v>42614</v>
      </c>
      <c r="C38" s="37">
        <f t="shared" si="6"/>
        <v>111744.86623442985</v>
      </c>
      <c r="D38" s="38">
        <f t="shared" si="9"/>
        <v>479.39572008846164</v>
      </c>
      <c r="E38" s="59">
        <f t="shared" si="1"/>
        <v>0</v>
      </c>
      <c r="F38" s="38">
        <f t="shared" si="2"/>
        <v>479.39572008846164</v>
      </c>
      <c r="G38" s="38">
        <f t="shared" si="7"/>
        <v>214.00166278169075</v>
      </c>
      <c r="H38" s="38">
        <f t="shared" si="8"/>
        <v>265.39405730677089</v>
      </c>
      <c r="I38" s="38">
        <f t="shared" si="3"/>
        <v>111530.86457164816</v>
      </c>
      <c r="J38" s="38">
        <f>SUM($H$18:$H38)</f>
        <v>5678.1746935058363</v>
      </c>
      <c r="L38" s="56">
        <f t="shared" si="4"/>
        <v>0.4463987762389735</v>
      </c>
    </row>
    <row r="39" spans="1:12" x14ac:dyDescent="0.2">
      <c r="A39" s="35">
        <f t="shared" si="5"/>
        <v>22</v>
      </c>
      <c r="B39" s="36">
        <f t="shared" si="0"/>
        <v>42644</v>
      </c>
      <c r="C39" s="37">
        <f t="shared" si="6"/>
        <v>111530.86457164816</v>
      </c>
      <c r="D39" s="38">
        <f t="shared" si="9"/>
        <v>479.39572008846164</v>
      </c>
      <c r="E39" s="59">
        <f t="shared" si="1"/>
        <v>0</v>
      </c>
      <c r="F39" s="38">
        <f t="shared" si="2"/>
        <v>479.39572008846164</v>
      </c>
      <c r="G39" s="38">
        <f t="shared" si="7"/>
        <v>214.50991673079727</v>
      </c>
      <c r="H39" s="38">
        <f t="shared" si="8"/>
        <v>264.88580335766437</v>
      </c>
      <c r="I39" s="38">
        <f t="shared" si="3"/>
        <v>111316.35465491736</v>
      </c>
      <c r="J39" s="38">
        <f>SUM($H$18:$H39)</f>
        <v>5943.0604968635007</v>
      </c>
      <c r="L39" s="56">
        <f t="shared" si="4"/>
        <v>0.44745897333254103</v>
      </c>
    </row>
    <row r="40" spans="1:12" x14ac:dyDescent="0.2">
      <c r="A40" s="35">
        <f t="shared" si="5"/>
        <v>23</v>
      </c>
      <c r="B40" s="36">
        <f t="shared" si="0"/>
        <v>42675</v>
      </c>
      <c r="C40" s="37">
        <f t="shared" si="6"/>
        <v>111316.35465491736</v>
      </c>
      <c r="D40" s="38">
        <f t="shared" si="9"/>
        <v>479.39572008846164</v>
      </c>
      <c r="E40" s="59">
        <f t="shared" si="1"/>
        <v>0</v>
      </c>
      <c r="F40" s="38">
        <f t="shared" si="2"/>
        <v>479.39572008846164</v>
      </c>
      <c r="G40" s="38">
        <f t="shared" si="7"/>
        <v>215.01937778303289</v>
      </c>
      <c r="H40" s="38">
        <f t="shared" si="8"/>
        <v>264.37634230542875</v>
      </c>
      <c r="I40" s="38">
        <f t="shared" si="3"/>
        <v>111101.33527713433</v>
      </c>
      <c r="J40" s="38">
        <f>SUM($H$18:$H40)</f>
        <v>6207.4368391689295</v>
      </c>
      <c r="L40" s="56">
        <f t="shared" si="4"/>
        <v>0.44852168839420581</v>
      </c>
    </row>
    <row r="41" spans="1:12" x14ac:dyDescent="0.2">
      <c r="A41" s="35">
        <f t="shared" si="5"/>
        <v>24</v>
      </c>
      <c r="B41" s="36">
        <f t="shared" si="0"/>
        <v>42705</v>
      </c>
      <c r="C41" s="37">
        <f t="shared" si="6"/>
        <v>111101.33527713433</v>
      </c>
      <c r="D41" s="38">
        <f t="shared" si="9"/>
        <v>479.39572008846164</v>
      </c>
      <c r="E41" s="59">
        <f t="shared" si="1"/>
        <v>0</v>
      </c>
      <c r="F41" s="38">
        <f t="shared" si="2"/>
        <v>479.39572008846164</v>
      </c>
      <c r="G41" s="38">
        <f t="shared" si="7"/>
        <v>215.5300488052676</v>
      </c>
      <c r="H41" s="38">
        <f t="shared" si="8"/>
        <v>263.86567128319405</v>
      </c>
      <c r="I41" s="38">
        <f t="shared" si="3"/>
        <v>110885.80522832906</v>
      </c>
      <c r="J41" s="38">
        <f>SUM($H$18:$H41)</f>
        <v>6471.3025104521239</v>
      </c>
      <c r="K41" s="1">
        <f>J41-J29</f>
        <v>3199.827563201678</v>
      </c>
      <c r="L41" s="56">
        <f t="shared" si="4"/>
        <v>0.44958692740414202</v>
      </c>
    </row>
    <row r="42" spans="1:12" x14ac:dyDescent="0.2">
      <c r="A42" s="35">
        <f t="shared" si="5"/>
        <v>25</v>
      </c>
      <c r="B42" s="36">
        <f t="shared" si="0"/>
        <v>42736</v>
      </c>
      <c r="C42" s="37">
        <f t="shared" si="6"/>
        <v>110885.80522832906</v>
      </c>
      <c r="D42" s="38">
        <f t="shared" si="9"/>
        <v>479.39572008846164</v>
      </c>
      <c r="E42" s="59">
        <f t="shared" si="1"/>
        <v>0</v>
      </c>
      <c r="F42" s="38">
        <f t="shared" si="2"/>
        <v>479.39572008846164</v>
      </c>
      <c r="G42" s="38">
        <f t="shared" si="7"/>
        <v>216.04193267118012</v>
      </c>
      <c r="H42" s="38">
        <f t="shared" si="8"/>
        <v>263.35378741728152</v>
      </c>
      <c r="I42" s="38">
        <f t="shared" si="3"/>
        <v>110669.76329565787</v>
      </c>
      <c r="J42" s="38">
        <f>SUM($H$18:$H42)</f>
        <v>6734.6562978694055</v>
      </c>
      <c r="K42" s="34"/>
      <c r="L42" s="56">
        <f t="shared" si="4"/>
        <v>0.45065469635672689</v>
      </c>
    </row>
    <row r="43" spans="1:12" x14ac:dyDescent="0.2">
      <c r="A43" s="35">
        <f t="shared" si="5"/>
        <v>26</v>
      </c>
      <c r="B43" s="36">
        <f t="shared" si="0"/>
        <v>42767</v>
      </c>
      <c r="C43" s="37">
        <f t="shared" si="6"/>
        <v>110669.76329565787</v>
      </c>
      <c r="D43" s="38">
        <f t="shared" si="9"/>
        <v>479.39572008846164</v>
      </c>
      <c r="E43" s="59">
        <f t="shared" si="1"/>
        <v>0</v>
      </c>
      <c r="F43" s="38">
        <f t="shared" si="2"/>
        <v>479.39572008846164</v>
      </c>
      <c r="G43" s="38">
        <f t="shared" si="7"/>
        <v>216.55503226127416</v>
      </c>
      <c r="H43" s="38">
        <f t="shared" si="8"/>
        <v>262.84068782718748</v>
      </c>
      <c r="I43" s="38">
        <f t="shared" si="3"/>
        <v>110453.20826339661</v>
      </c>
      <c r="J43" s="38">
        <f>SUM($H$18:$H43)</f>
        <v>6997.4969856965927</v>
      </c>
      <c r="K43" s="34"/>
      <c r="L43" s="56">
        <f t="shared" si="4"/>
        <v>0.45172500126057408</v>
      </c>
    </row>
    <row r="44" spans="1:12" x14ac:dyDescent="0.2">
      <c r="A44" s="35">
        <f t="shared" si="5"/>
        <v>27</v>
      </c>
      <c r="B44" s="36">
        <f t="shared" si="0"/>
        <v>42795</v>
      </c>
      <c r="C44" s="37">
        <f t="shared" si="6"/>
        <v>110453.20826339661</v>
      </c>
      <c r="D44" s="38">
        <f t="shared" si="9"/>
        <v>479.39572008846164</v>
      </c>
      <c r="E44" s="59">
        <f t="shared" si="1"/>
        <v>0</v>
      </c>
      <c r="F44" s="38">
        <f t="shared" si="2"/>
        <v>479.39572008846164</v>
      </c>
      <c r="G44" s="38">
        <f t="shared" si="7"/>
        <v>217.0693504628947</v>
      </c>
      <c r="H44" s="38">
        <f t="shared" si="8"/>
        <v>262.32636962556694</v>
      </c>
      <c r="I44" s="38">
        <f t="shared" si="3"/>
        <v>110236.1389129337</v>
      </c>
      <c r="J44" s="38">
        <f>SUM($H$18:$H44)</f>
        <v>7259.8233553221598</v>
      </c>
      <c r="K44" s="34"/>
      <c r="L44" s="56">
        <f t="shared" si="4"/>
        <v>0.45279784813856799</v>
      </c>
    </row>
    <row r="45" spans="1:12" x14ac:dyDescent="0.2">
      <c r="A45" s="35">
        <f t="shared" si="5"/>
        <v>28</v>
      </c>
      <c r="B45" s="36">
        <f t="shared" si="0"/>
        <v>42826</v>
      </c>
      <c r="C45" s="37">
        <f t="shared" si="6"/>
        <v>110236.1389129337</v>
      </c>
      <c r="D45" s="38">
        <f t="shared" si="9"/>
        <v>479.39572008846164</v>
      </c>
      <c r="E45" s="59">
        <f t="shared" si="1"/>
        <v>0</v>
      </c>
      <c r="F45" s="38">
        <f t="shared" si="2"/>
        <v>479.39572008846164</v>
      </c>
      <c r="G45" s="38">
        <f t="shared" si="7"/>
        <v>217.58489017024408</v>
      </c>
      <c r="H45" s="38">
        <f t="shared" si="8"/>
        <v>261.81082991821756</v>
      </c>
      <c r="I45" s="38">
        <f t="shared" si="3"/>
        <v>110018.55402276346</v>
      </c>
      <c r="J45" s="38">
        <f>SUM($H$18:$H45)</f>
        <v>7521.6341852403775</v>
      </c>
      <c r="K45" s="34"/>
      <c r="L45" s="56">
        <f t="shared" si="4"/>
        <v>0.45387324302789711</v>
      </c>
    </row>
    <row r="46" spans="1:12" x14ac:dyDescent="0.2">
      <c r="A46" s="35">
        <f t="shared" si="5"/>
        <v>29</v>
      </c>
      <c r="B46" s="36">
        <f t="shared" si="0"/>
        <v>42856</v>
      </c>
      <c r="C46" s="37">
        <f t="shared" si="6"/>
        <v>110018.55402276346</v>
      </c>
      <c r="D46" s="38">
        <f t="shared" si="9"/>
        <v>479.39572008846164</v>
      </c>
      <c r="E46" s="59">
        <f t="shared" si="1"/>
        <v>0</v>
      </c>
      <c r="F46" s="38">
        <f t="shared" si="2"/>
        <v>479.39572008846164</v>
      </c>
      <c r="G46" s="38">
        <f t="shared" si="7"/>
        <v>218.10165428439842</v>
      </c>
      <c r="H46" s="38">
        <f t="shared" si="8"/>
        <v>261.29406580406322</v>
      </c>
      <c r="I46" s="38">
        <f t="shared" si="3"/>
        <v>109800.45236847906</v>
      </c>
      <c r="J46" s="38">
        <f>SUM($H$18:$H46)</f>
        <v>7782.9282510444409</v>
      </c>
      <c r="K46" s="34"/>
      <c r="L46" s="56">
        <f t="shared" si="4"/>
        <v>0.45495119198008838</v>
      </c>
    </row>
    <row r="47" spans="1:12" x14ac:dyDescent="0.2">
      <c r="A47" s="35">
        <f t="shared" si="5"/>
        <v>30</v>
      </c>
      <c r="B47" s="36">
        <f t="shared" si="0"/>
        <v>42887</v>
      </c>
      <c r="C47" s="37">
        <f t="shared" si="6"/>
        <v>109800.45236847906</v>
      </c>
      <c r="D47" s="38">
        <f t="shared" si="9"/>
        <v>479.39572008846164</v>
      </c>
      <c r="E47" s="59">
        <f t="shared" si="1"/>
        <v>0</v>
      </c>
      <c r="F47" s="38">
        <f t="shared" si="2"/>
        <v>479.39572008846164</v>
      </c>
      <c r="G47" s="38">
        <f t="shared" si="7"/>
        <v>218.61964571332385</v>
      </c>
      <c r="H47" s="38">
        <f t="shared" si="8"/>
        <v>260.7760743751378</v>
      </c>
      <c r="I47" s="38">
        <f t="shared" si="3"/>
        <v>109581.83272276574</v>
      </c>
      <c r="J47" s="38">
        <f>SUM($H$18:$H47)</f>
        <v>8043.7043254195787</v>
      </c>
      <c r="L47" s="56">
        <f t="shared" si="4"/>
        <v>0.45603170106104102</v>
      </c>
    </row>
    <row r="48" spans="1:12" x14ac:dyDescent="0.2">
      <c r="A48" s="35">
        <f t="shared" si="5"/>
        <v>31</v>
      </c>
      <c r="B48" s="36">
        <f t="shared" si="0"/>
        <v>42917</v>
      </c>
      <c r="C48" s="37">
        <f t="shared" si="6"/>
        <v>109581.83272276574</v>
      </c>
      <c r="D48" s="38">
        <f t="shared" si="9"/>
        <v>479.39572008846164</v>
      </c>
      <c r="E48" s="59">
        <f t="shared" si="1"/>
        <v>0</v>
      </c>
      <c r="F48" s="38">
        <f t="shared" si="2"/>
        <v>479.39572008846164</v>
      </c>
      <c r="G48" s="38">
        <f t="shared" si="7"/>
        <v>219.13886737189301</v>
      </c>
      <c r="H48" s="38">
        <f t="shared" si="8"/>
        <v>260.25685271656863</v>
      </c>
      <c r="I48" s="38">
        <f t="shared" si="3"/>
        <v>109362.69385539385</v>
      </c>
      <c r="J48" s="38">
        <f>SUM($H$18:$H48)</f>
        <v>8303.9611781361473</v>
      </c>
      <c r="L48" s="56">
        <f t="shared" si="4"/>
        <v>0.45711477635106107</v>
      </c>
    </row>
    <row r="49" spans="1:12" x14ac:dyDescent="0.2">
      <c r="A49" s="35">
        <f t="shared" si="5"/>
        <v>32</v>
      </c>
      <c r="B49" s="36">
        <f t="shared" si="0"/>
        <v>42948</v>
      </c>
      <c r="C49" s="37">
        <f t="shared" si="6"/>
        <v>109362.69385539385</v>
      </c>
      <c r="D49" s="38">
        <f t="shared" si="9"/>
        <v>479.39572008846164</v>
      </c>
      <c r="E49" s="59">
        <f t="shared" si="1"/>
        <v>0</v>
      </c>
      <c r="F49" s="38">
        <f t="shared" si="2"/>
        <v>479.39572008846164</v>
      </c>
      <c r="G49" s="38">
        <f t="shared" si="7"/>
        <v>219.65932218190125</v>
      </c>
      <c r="H49" s="38">
        <f t="shared" si="8"/>
        <v>259.7363979065604</v>
      </c>
      <c r="I49" s="38">
        <f t="shared" si="3"/>
        <v>109143.03453321195</v>
      </c>
      <c r="J49" s="38">
        <f>SUM($H$18:$H49)</f>
        <v>8563.6975760427085</v>
      </c>
      <c r="L49" s="56">
        <f t="shared" si="4"/>
        <v>0.4582004239448948</v>
      </c>
    </row>
    <row r="50" spans="1:12" x14ac:dyDescent="0.2">
      <c r="A50" s="35">
        <f t="shared" si="5"/>
        <v>33</v>
      </c>
      <c r="B50" s="36">
        <f t="shared" si="0"/>
        <v>42979</v>
      </c>
      <c r="C50" s="37">
        <f t="shared" si="6"/>
        <v>109143.03453321195</v>
      </c>
      <c r="D50" s="38">
        <f t="shared" si="9"/>
        <v>479.39572008846164</v>
      </c>
      <c r="E50" s="59">
        <f t="shared" si="1"/>
        <v>0</v>
      </c>
      <c r="F50" s="38">
        <f t="shared" si="2"/>
        <v>479.39572008846164</v>
      </c>
      <c r="G50" s="38">
        <f t="shared" si="7"/>
        <v>220.18101307208326</v>
      </c>
      <c r="H50" s="38">
        <f t="shared" si="8"/>
        <v>259.21470701637838</v>
      </c>
      <c r="I50" s="38">
        <f t="shared" si="3"/>
        <v>108922.85352013986</v>
      </c>
      <c r="J50" s="38">
        <f>SUM($H$18:$H50)</f>
        <v>8822.9122830590877</v>
      </c>
      <c r="L50" s="56">
        <f t="shared" si="4"/>
        <v>0.45928864995176394</v>
      </c>
    </row>
    <row r="51" spans="1:12" x14ac:dyDescent="0.2">
      <c r="A51" s="35">
        <f t="shared" si="5"/>
        <v>34</v>
      </c>
      <c r="B51" s="36">
        <f t="shared" si="0"/>
        <v>43009</v>
      </c>
      <c r="C51" s="37">
        <f t="shared" si="6"/>
        <v>108922.85352013986</v>
      </c>
      <c r="D51" s="38">
        <f t="shared" si="9"/>
        <v>479.39572008846164</v>
      </c>
      <c r="E51" s="59">
        <f t="shared" si="1"/>
        <v>0</v>
      </c>
      <c r="F51" s="38">
        <f t="shared" si="2"/>
        <v>479.39572008846164</v>
      </c>
      <c r="G51" s="38">
        <f t="shared" si="7"/>
        <v>220.70394297812948</v>
      </c>
      <c r="H51" s="38">
        <f t="shared" si="8"/>
        <v>258.69177711033217</v>
      </c>
      <c r="I51" s="38">
        <f t="shared" si="3"/>
        <v>108702.14957716173</v>
      </c>
      <c r="J51" s="38">
        <f>SUM($H$18:$H51)</f>
        <v>9081.6040601694203</v>
      </c>
      <c r="L51" s="56">
        <f t="shared" si="4"/>
        <v>0.46037946049539941</v>
      </c>
    </row>
    <row r="52" spans="1:12" x14ac:dyDescent="0.2">
      <c r="A52" s="35">
        <f t="shared" si="5"/>
        <v>35</v>
      </c>
      <c r="B52" s="36">
        <f t="shared" si="0"/>
        <v>43040</v>
      </c>
      <c r="C52" s="37">
        <f t="shared" si="6"/>
        <v>108702.14957716173</v>
      </c>
      <c r="D52" s="38">
        <f t="shared" si="9"/>
        <v>479.39572008846164</v>
      </c>
      <c r="E52" s="59">
        <f t="shared" si="1"/>
        <v>0</v>
      </c>
      <c r="F52" s="38">
        <f t="shared" si="2"/>
        <v>479.39572008846164</v>
      </c>
      <c r="G52" s="38">
        <f t="shared" si="7"/>
        <v>221.2281148427025</v>
      </c>
      <c r="H52" s="38">
        <f t="shared" si="8"/>
        <v>258.16760524575915</v>
      </c>
      <c r="I52" s="38">
        <f t="shared" si="3"/>
        <v>108480.92146231903</v>
      </c>
      <c r="J52" s="38">
        <f>SUM($H$18:$H52)</f>
        <v>9339.7716654151791</v>
      </c>
      <c r="L52" s="56">
        <f t="shared" si="4"/>
        <v>0.46147286171407592</v>
      </c>
    </row>
    <row r="53" spans="1:12" x14ac:dyDescent="0.2">
      <c r="A53" s="35">
        <f t="shared" si="5"/>
        <v>36</v>
      </c>
      <c r="B53" s="36">
        <f t="shared" si="0"/>
        <v>43070</v>
      </c>
      <c r="C53" s="37">
        <f t="shared" si="6"/>
        <v>108480.92146231903</v>
      </c>
      <c r="D53" s="38">
        <f t="shared" si="9"/>
        <v>479.39572008846164</v>
      </c>
      <c r="E53" s="59">
        <f t="shared" si="1"/>
        <v>0</v>
      </c>
      <c r="F53" s="38">
        <f t="shared" si="2"/>
        <v>479.39572008846164</v>
      </c>
      <c r="G53" s="38">
        <f t="shared" si="7"/>
        <v>221.75353161545394</v>
      </c>
      <c r="H53" s="38">
        <f t="shared" si="8"/>
        <v>257.64218847300771</v>
      </c>
      <c r="I53" s="38">
        <f t="shared" si="3"/>
        <v>108259.16793070358</v>
      </c>
      <c r="J53" s="38">
        <f>SUM($H$18:$H53)</f>
        <v>9597.4138538881871</v>
      </c>
      <c r="K53" s="1">
        <f>J53-J41</f>
        <v>3126.1113434360632</v>
      </c>
      <c r="L53" s="56">
        <f t="shared" si="4"/>
        <v>0.46256885976064688</v>
      </c>
    </row>
    <row r="54" spans="1:12" x14ac:dyDescent="0.2">
      <c r="A54" s="35">
        <f t="shared" si="5"/>
        <v>37</v>
      </c>
      <c r="B54" s="36">
        <f t="shared" si="0"/>
        <v>43101</v>
      </c>
      <c r="C54" s="37">
        <f t="shared" si="6"/>
        <v>108259.16793070358</v>
      </c>
      <c r="D54" s="38">
        <f t="shared" si="9"/>
        <v>479.39572008846164</v>
      </c>
      <c r="E54" s="59">
        <f t="shared" si="1"/>
        <v>0</v>
      </c>
      <c r="F54" s="38">
        <f t="shared" si="2"/>
        <v>479.39572008846164</v>
      </c>
      <c r="G54" s="38">
        <f t="shared" si="7"/>
        <v>222.28019625304063</v>
      </c>
      <c r="H54" s="38">
        <f t="shared" si="8"/>
        <v>257.11552383542102</v>
      </c>
      <c r="I54" s="38">
        <f t="shared" si="3"/>
        <v>108036.88773445055</v>
      </c>
      <c r="J54" s="38">
        <f>SUM($H$18:$H54)</f>
        <v>9854.5293777236075</v>
      </c>
      <c r="K54" s="34"/>
      <c r="L54" s="56">
        <f t="shared" si="4"/>
        <v>0.46366746080257837</v>
      </c>
    </row>
    <row r="55" spans="1:12" x14ac:dyDescent="0.2">
      <c r="A55" s="35">
        <f t="shared" si="5"/>
        <v>38</v>
      </c>
      <c r="B55" s="36">
        <f t="shared" si="0"/>
        <v>43132</v>
      </c>
      <c r="C55" s="37">
        <f t="shared" si="6"/>
        <v>108036.88773445055</v>
      </c>
      <c r="D55" s="38">
        <f t="shared" si="9"/>
        <v>479.39572008846164</v>
      </c>
      <c r="E55" s="59">
        <f t="shared" si="1"/>
        <v>0</v>
      </c>
      <c r="F55" s="38">
        <f t="shared" si="2"/>
        <v>479.39572008846164</v>
      </c>
      <c r="G55" s="38">
        <f t="shared" si="7"/>
        <v>222.80811171914161</v>
      </c>
      <c r="H55" s="38">
        <f t="shared" si="8"/>
        <v>256.58760836932004</v>
      </c>
      <c r="I55" s="38">
        <f t="shared" si="3"/>
        <v>107814.0796227314</v>
      </c>
      <c r="J55" s="38">
        <f>SUM($H$18:$H55)</f>
        <v>10111.116986092928</v>
      </c>
      <c r="K55" s="34"/>
      <c r="L55" s="56">
        <f t="shared" si="4"/>
        <v>0.46476867102198455</v>
      </c>
    </row>
    <row r="56" spans="1:12" x14ac:dyDescent="0.2">
      <c r="A56" s="35">
        <f t="shared" si="5"/>
        <v>39</v>
      </c>
      <c r="B56" s="36">
        <f t="shared" si="0"/>
        <v>43160</v>
      </c>
      <c r="C56" s="37">
        <f t="shared" si="6"/>
        <v>107814.0796227314</v>
      </c>
      <c r="D56" s="38">
        <f t="shared" si="9"/>
        <v>479.39572008846164</v>
      </c>
      <c r="E56" s="59">
        <f t="shared" si="1"/>
        <v>0</v>
      </c>
      <c r="F56" s="38">
        <f t="shared" si="2"/>
        <v>479.39572008846164</v>
      </c>
      <c r="G56" s="38">
        <f t="shared" si="7"/>
        <v>223.33728098447455</v>
      </c>
      <c r="H56" s="38">
        <f t="shared" si="8"/>
        <v>256.0584391039871</v>
      </c>
      <c r="I56" s="38">
        <f t="shared" si="3"/>
        <v>107590.74234174693</v>
      </c>
      <c r="J56" s="38">
        <f>SUM($H$18:$H56)</f>
        <v>10367.175425196914</v>
      </c>
      <c r="K56" s="34"/>
      <c r="L56" s="56">
        <f t="shared" si="4"/>
        <v>0.46587249661566171</v>
      </c>
    </row>
    <row r="57" spans="1:12" x14ac:dyDescent="0.2">
      <c r="A57" s="35">
        <f t="shared" si="5"/>
        <v>40</v>
      </c>
      <c r="B57" s="36">
        <f t="shared" si="0"/>
        <v>43191</v>
      </c>
      <c r="C57" s="37">
        <f t="shared" si="6"/>
        <v>107590.74234174693</v>
      </c>
      <c r="D57" s="38">
        <f t="shared" si="9"/>
        <v>479.39572008846164</v>
      </c>
      <c r="E57" s="59">
        <f t="shared" si="1"/>
        <v>0</v>
      </c>
      <c r="F57" s="38">
        <f t="shared" si="2"/>
        <v>479.39572008846164</v>
      </c>
      <c r="G57" s="38">
        <f t="shared" si="7"/>
        <v>223.8677070268127</v>
      </c>
      <c r="H57" s="38">
        <f t="shared" si="8"/>
        <v>255.52801306164895</v>
      </c>
      <c r="I57" s="38">
        <f t="shared" si="3"/>
        <v>107366.87463472011</v>
      </c>
      <c r="J57" s="38">
        <f>SUM($H$18:$H57)</f>
        <v>10622.703438258563</v>
      </c>
      <c r="K57" s="34"/>
      <c r="L57" s="56">
        <f t="shared" si="4"/>
        <v>0.46697894379512395</v>
      </c>
    </row>
    <row r="58" spans="1:12" x14ac:dyDescent="0.2">
      <c r="A58" s="35">
        <f t="shared" si="5"/>
        <v>41</v>
      </c>
      <c r="B58" s="36">
        <f t="shared" si="0"/>
        <v>43221</v>
      </c>
      <c r="C58" s="37">
        <f t="shared" si="6"/>
        <v>107366.87463472011</v>
      </c>
      <c r="D58" s="38">
        <f t="shared" si="9"/>
        <v>479.39572008846164</v>
      </c>
      <c r="E58" s="59">
        <f t="shared" si="1"/>
        <v>0</v>
      </c>
      <c r="F58" s="38">
        <f t="shared" si="2"/>
        <v>479.39572008846164</v>
      </c>
      <c r="G58" s="38">
        <f t="shared" si="7"/>
        <v>224.39939283100136</v>
      </c>
      <c r="H58" s="38">
        <f t="shared" si="8"/>
        <v>254.99632725746028</v>
      </c>
      <c r="I58" s="38">
        <f t="shared" si="3"/>
        <v>107142.4752418891</v>
      </c>
      <c r="J58" s="38">
        <f>SUM($H$18:$H58)</f>
        <v>10877.699765516023</v>
      </c>
      <c r="K58" s="34"/>
      <c r="L58" s="56">
        <f t="shared" si="4"/>
        <v>0.46808801878663731</v>
      </c>
    </row>
    <row r="59" spans="1:12" x14ac:dyDescent="0.2">
      <c r="A59" s="35">
        <f t="shared" si="5"/>
        <v>42</v>
      </c>
      <c r="B59" s="36">
        <f t="shared" si="0"/>
        <v>43252</v>
      </c>
      <c r="C59" s="37">
        <f t="shared" si="6"/>
        <v>107142.4752418891</v>
      </c>
      <c r="D59" s="38">
        <f t="shared" si="9"/>
        <v>479.39572008846164</v>
      </c>
      <c r="E59" s="59">
        <f t="shared" si="1"/>
        <v>0</v>
      </c>
      <c r="F59" s="38">
        <f t="shared" si="2"/>
        <v>479.39572008846164</v>
      </c>
      <c r="G59" s="38">
        <f t="shared" si="7"/>
        <v>224.93234138897503</v>
      </c>
      <c r="H59" s="38">
        <f t="shared" si="8"/>
        <v>254.46337869948661</v>
      </c>
      <c r="I59" s="38">
        <f t="shared" si="3"/>
        <v>106917.54290050012</v>
      </c>
      <c r="J59" s="38">
        <f>SUM($H$18:$H59)</f>
        <v>11132.16314421551</v>
      </c>
      <c r="L59" s="56">
        <f t="shared" si="4"/>
        <v>0.46919972783125569</v>
      </c>
    </row>
    <row r="60" spans="1:12" x14ac:dyDescent="0.2">
      <c r="A60" s="35">
        <f t="shared" si="5"/>
        <v>43</v>
      </c>
      <c r="B60" s="36">
        <f t="shared" si="0"/>
        <v>43282</v>
      </c>
      <c r="C60" s="37">
        <f t="shared" si="6"/>
        <v>106917.54290050012</v>
      </c>
      <c r="D60" s="38">
        <f t="shared" si="9"/>
        <v>479.39572008846164</v>
      </c>
      <c r="E60" s="59">
        <f t="shared" si="1"/>
        <v>0</v>
      </c>
      <c r="F60" s="38">
        <f t="shared" si="2"/>
        <v>479.39572008846164</v>
      </c>
      <c r="G60" s="38">
        <f t="shared" si="7"/>
        <v>225.46655569977383</v>
      </c>
      <c r="H60" s="38">
        <f t="shared" si="8"/>
        <v>253.92916438868781</v>
      </c>
      <c r="I60" s="38">
        <f t="shared" si="3"/>
        <v>106692.07634480034</v>
      </c>
      <c r="J60" s="38">
        <f>SUM($H$18:$H60)</f>
        <v>11386.092308604198</v>
      </c>
      <c r="L60" s="56">
        <f t="shared" si="4"/>
        <v>0.47031407718485491</v>
      </c>
    </row>
    <row r="61" spans="1:12" x14ac:dyDescent="0.2">
      <c r="A61" s="35">
        <f t="shared" si="5"/>
        <v>44</v>
      </c>
      <c r="B61" s="36">
        <f t="shared" si="0"/>
        <v>43313</v>
      </c>
      <c r="C61" s="37">
        <f t="shared" si="6"/>
        <v>106692.07634480034</v>
      </c>
      <c r="D61" s="38">
        <f t="shared" si="9"/>
        <v>479.39572008846164</v>
      </c>
      <c r="E61" s="59">
        <f t="shared" si="1"/>
        <v>0</v>
      </c>
      <c r="F61" s="38">
        <f t="shared" si="2"/>
        <v>479.39572008846164</v>
      </c>
      <c r="G61" s="38">
        <f t="shared" si="7"/>
        <v>226.00203876956084</v>
      </c>
      <c r="H61" s="38">
        <f t="shared" si="8"/>
        <v>253.3936813189008</v>
      </c>
      <c r="I61" s="38">
        <f t="shared" si="3"/>
        <v>106466.07430603079</v>
      </c>
      <c r="J61" s="38">
        <f>SUM($H$18:$H61)</f>
        <v>11639.4859899231</v>
      </c>
      <c r="L61" s="56">
        <f t="shared" si="4"/>
        <v>0.47143107311816901</v>
      </c>
    </row>
    <row r="62" spans="1:12" x14ac:dyDescent="0.2">
      <c r="A62" s="35">
        <f t="shared" si="5"/>
        <v>45</v>
      </c>
      <c r="B62" s="36">
        <f t="shared" si="0"/>
        <v>43344</v>
      </c>
      <c r="C62" s="37">
        <f t="shared" si="6"/>
        <v>106466.07430603079</v>
      </c>
      <c r="D62" s="38">
        <f t="shared" si="9"/>
        <v>479.39572008846164</v>
      </c>
      <c r="E62" s="59">
        <f t="shared" si="1"/>
        <v>0</v>
      </c>
      <c r="F62" s="38">
        <f t="shared" si="2"/>
        <v>479.39572008846164</v>
      </c>
      <c r="G62" s="38">
        <f t="shared" si="7"/>
        <v>226.53879361163851</v>
      </c>
      <c r="H62" s="38">
        <f t="shared" si="8"/>
        <v>252.85692647682313</v>
      </c>
      <c r="I62" s="38">
        <f t="shared" si="3"/>
        <v>106239.53551241916</v>
      </c>
      <c r="J62" s="38">
        <f>SUM($H$18:$H62)</f>
        <v>11892.342916399923</v>
      </c>
      <c r="L62" s="56">
        <f t="shared" si="4"/>
        <v>0.47255072191682457</v>
      </c>
    </row>
    <row r="63" spans="1:12" x14ac:dyDescent="0.2">
      <c r="A63" s="35">
        <f t="shared" si="5"/>
        <v>46</v>
      </c>
      <c r="B63" s="36">
        <f t="shared" si="0"/>
        <v>43374</v>
      </c>
      <c r="C63" s="37">
        <f t="shared" si="6"/>
        <v>106239.53551241916</v>
      </c>
      <c r="D63" s="38">
        <f t="shared" si="9"/>
        <v>479.39572008846164</v>
      </c>
      <c r="E63" s="59">
        <f t="shared" si="1"/>
        <v>0</v>
      </c>
      <c r="F63" s="38">
        <f t="shared" si="2"/>
        <v>479.39572008846164</v>
      </c>
      <c r="G63" s="38">
        <f t="shared" si="7"/>
        <v>227.07682324646615</v>
      </c>
      <c r="H63" s="38">
        <f t="shared" si="8"/>
        <v>252.3188968419955</v>
      </c>
      <c r="I63" s="38">
        <f t="shared" si="3"/>
        <v>106012.45868917269</v>
      </c>
      <c r="J63" s="38">
        <f>SUM($H$18:$H63)</f>
        <v>12144.661813241919</v>
      </c>
      <c r="L63" s="56">
        <f t="shared" si="4"/>
        <v>0.47367302988137705</v>
      </c>
    </row>
    <row r="64" spans="1:12" x14ac:dyDescent="0.2">
      <c r="A64" s="35">
        <f t="shared" si="5"/>
        <v>47</v>
      </c>
      <c r="B64" s="36">
        <f t="shared" si="0"/>
        <v>43405</v>
      </c>
      <c r="C64" s="37">
        <f t="shared" si="6"/>
        <v>106012.45868917269</v>
      </c>
      <c r="D64" s="38">
        <f t="shared" si="9"/>
        <v>479.39572008846164</v>
      </c>
      <c r="E64" s="59">
        <f t="shared" si="1"/>
        <v>0</v>
      </c>
      <c r="F64" s="38">
        <f t="shared" si="2"/>
        <v>479.39572008846164</v>
      </c>
      <c r="G64" s="38">
        <f t="shared" si="7"/>
        <v>227.6161307016765</v>
      </c>
      <c r="H64" s="38">
        <f t="shared" si="8"/>
        <v>251.77958938678515</v>
      </c>
      <c r="I64" s="38">
        <f t="shared" si="3"/>
        <v>105784.84255847102</v>
      </c>
      <c r="J64" s="38">
        <f>SUM($H$18:$H64)</f>
        <v>12396.441402628705</v>
      </c>
      <c r="L64" s="56">
        <f t="shared" si="4"/>
        <v>0.47479800332734529</v>
      </c>
    </row>
    <row r="65" spans="1:12" x14ac:dyDescent="0.2">
      <c r="A65" s="35">
        <f t="shared" si="5"/>
        <v>48</v>
      </c>
      <c r="B65" s="36">
        <f t="shared" si="0"/>
        <v>43435</v>
      </c>
      <c r="C65" s="37">
        <f t="shared" si="6"/>
        <v>105784.84255847102</v>
      </c>
      <c r="D65" s="38">
        <f t="shared" si="9"/>
        <v>479.39572008846164</v>
      </c>
      <c r="E65" s="59">
        <f t="shared" si="1"/>
        <v>0</v>
      </c>
      <c r="F65" s="38">
        <f t="shared" si="2"/>
        <v>479.39572008846164</v>
      </c>
      <c r="G65" s="38">
        <f t="shared" si="7"/>
        <v>228.15671901209296</v>
      </c>
      <c r="H65" s="38">
        <f t="shared" si="8"/>
        <v>251.23900107636868</v>
      </c>
      <c r="I65" s="38">
        <f t="shared" si="3"/>
        <v>105556.68583945892</v>
      </c>
      <c r="J65" s="38">
        <f>SUM($H$18:$H65)</f>
        <v>12647.680403705073</v>
      </c>
      <c r="K65" s="1">
        <f>J65-J53</f>
        <v>3050.2665498168863</v>
      </c>
      <c r="L65" s="56">
        <f t="shared" si="4"/>
        <v>0.47592564858524772</v>
      </c>
    </row>
    <row r="66" spans="1:12" x14ac:dyDescent="0.2">
      <c r="A66" s="35">
        <f t="shared" si="5"/>
        <v>49</v>
      </c>
      <c r="B66" s="36">
        <f t="shared" si="0"/>
        <v>43466</v>
      </c>
      <c r="C66" s="37">
        <f t="shared" si="6"/>
        <v>105556.68583945892</v>
      </c>
      <c r="D66" s="38">
        <f t="shared" si="9"/>
        <v>479.39572008846164</v>
      </c>
      <c r="E66" s="59">
        <f t="shared" si="1"/>
        <v>0</v>
      </c>
      <c r="F66" s="38">
        <f t="shared" si="2"/>
        <v>479.39572008846164</v>
      </c>
      <c r="G66" s="38">
        <f t="shared" si="7"/>
        <v>228.6985912197467</v>
      </c>
      <c r="H66" s="38">
        <f t="shared" si="8"/>
        <v>250.69712886871494</v>
      </c>
      <c r="I66" s="38">
        <f t="shared" si="3"/>
        <v>105327.98724823918</v>
      </c>
      <c r="J66" s="38">
        <f>SUM($H$18:$H66)</f>
        <v>12898.377532573788</v>
      </c>
      <c r="K66" s="34"/>
      <c r="L66" s="56">
        <f t="shared" si="4"/>
        <v>0.47705597200063771</v>
      </c>
    </row>
    <row r="67" spans="1:12" x14ac:dyDescent="0.2">
      <c r="A67" s="35">
        <f t="shared" si="5"/>
        <v>50</v>
      </c>
      <c r="B67" s="36">
        <f t="shared" si="0"/>
        <v>43497</v>
      </c>
      <c r="C67" s="37">
        <f t="shared" si="6"/>
        <v>105327.98724823918</v>
      </c>
      <c r="D67" s="38">
        <f t="shared" si="9"/>
        <v>479.39572008846164</v>
      </c>
      <c r="E67" s="59">
        <f t="shared" si="1"/>
        <v>0</v>
      </c>
      <c r="F67" s="38">
        <f t="shared" si="2"/>
        <v>479.39572008846164</v>
      </c>
      <c r="G67" s="38">
        <f t="shared" si="7"/>
        <v>229.24175037389361</v>
      </c>
      <c r="H67" s="38">
        <f t="shared" si="8"/>
        <v>250.15396971456803</v>
      </c>
      <c r="I67" s="38">
        <f t="shared" si="3"/>
        <v>105098.74549786528</v>
      </c>
      <c r="J67" s="38">
        <f>SUM($H$18:$H67)</f>
        <v>13148.531502288355</v>
      </c>
      <c r="K67" s="34"/>
      <c r="L67" s="56">
        <f t="shared" si="4"/>
        <v>0.47818897993413922</v>
      </c>
    </row>
    <row r="68" spans="1:12" x14ac:dyDescent="0.2">
      <c r="A68" s="35">
        <f t="shared" si="5"/>
        <v>51</v>
      </c>
      <c r="B68" s="36">
        <f t="shared" si="0"/>
        <v>43525</v>
      </c>
      <c r="C68" s="37">
        <f t="shared" si="6"/>
        <v>105098.74549786528</v>
      </c>
      <c r="D68" s="38">
        <f t="shared" si="9"/>
        <v>479.39572008846164</v>
      </c>
      <c r="E68" s="59">
        <f t="shared" si="1"/>
        <v>0</v>
      </c>
      <c r="F68" s="38">
        <f t="shared" si="2"/>
        <v>479.39572008846164</v>
      </c>
      <c r="G68" s="38">
        <f t="shared" si="7"/>
        <v>229.7861995310316</v>
      </c>
      <c r="H68" s="38">
        <f t="shared" si="8"/>
        <v>249.60952055743005</v>
      </c>
      <c r="I68" s="38">
        <f t="shared" si="3"/>
        <v>104868.95929833424</v>
      </c>
      <c r="J68" s="38">
        <f>SUM($H$18:$H68)</f>
        <v>13398.141022845784</v>
      </c>
      <c r="K68" s="34"/>
      <c r="L68" s="56">
        <f t="shared" si="4"/>
        <v>0.47932467876148277</v>
      </c>
    </row>
    <row r="69" spans="1:12" x14ac:dyDescent="0.2">
      <c r="A69" s="35">
        <f t="shared" si="5"/>
        <v>52</v>
      </c>
      <c r="B69" s="36">
        <f t="shared" si="0"/>
        <v>43556</v>
      </c>
      <c r="C69" s="37">
        <f t="shared" si="6"/>
        <v>104868.95929833424</v>
      </c>
      <c r="D69" s="38">
        <f t="shared" si="9"/>
        <v>479.39572008846164</v>
      </c>
      <c r="E69" s="59">
        <f t="shared" si="1"/>
        <v>0</v>
      </c>
      <c r="F69" s="38">
        <f t="shared" si="2"/>
        <v>479.39572008846164</v>
      </c>
      <c r="G69" s="38">
        <f t="shared" si="7"/>
        <v>230.33194175491781</v>
      </c>
      <c r="H69" s="38">
        <f t="shared" si="8"/>
        <v>249.06377833354384</v>
      </c>
      <c r="I69" s="38">
        <f t="shared" si="3"/>
        <v>104638.62735657932</v>
      </c>
      <c r="J69" s="38">
        <f>SUM($H$18:$H69)</f>
        <v>13647.204801179329</v>
      </c>
      <c r="K69" s="34"/>
      <c r="L69" s="56">
        <f t="shared" si="4"/>
        <v>0.48046307487354134</v>
      </c>
    </row>
    <row r="70" spans="1:12" x14ac:dyDescent="0.2">
      <c r="A70" s="35">
        <f t="shared" si="5"/>
        <v>53</v>
      </c>
      <c r="B70" s="36">
        <f t="shared" si="0"/>
        <v>43586</v>
      </c>
      <c r="C70" s="37">
        <f t="shared" si="6"/>
        <v>104638.62735657932</v>
      </c>
      <c r="D70" s="38">
        <f t="shared" si="9"/>
        <v>479.39572008846164</v>
      </c>
      <c r="E70" s="59">
        <f t="shared" si="1"/>
        <v>0</v>
      </c>
      <c r="F70" s="38">
        <f t="shared" si="2"/>
        <v>479.39572008846164</v>
      </c>
      <c r="G70" s="38">
        <f t="shared" si="7"/>
        <v>230.87898011658572</v>
      </c>
      <c r="H70" s="38">
        <f t="shared" si="8"/>
        <v>248.51673997187592</v>
      </c>
      <c r="I70" s="38">
        <f t="shared" si="3"/>
        <v>104407.74837646274</v>
      </c>
      <c r="J70" s="38">
        <f>SUM($H$18:$H70)</f>
        <v>13895.721541151204</v>
      </c>
      <c r="K70" s="34"/>
      <c r="L70" s="56">
        <f t="shared" si="4"/>
        <v>0.48160417467636596</v>
      </c>
    </row>
    <row r="71" spans="1:12" x14ac:dyDescent="0.2">
      <c r="A71" s="35">
        <f t="shared" si="5"/>
        <v>54</v>
      </c>
      <c r="B71" s="36">
        <f t="shared" si="0"/>
        <v>43617</v>
      </c>
      <c r="C71" s="37">
        <f t="shared" si="6"/>
        <v>104407.74837646274</v>
      </c>
      <c r="D71" s="38">
        <f t="shared" si="9"/>
        <v>479.39572008846164</v>
      </c>
      <c r="E71" s="59">
        <f t="shared" si="1"/>
        <v>0</v>
      </c>
      <c r="F71" s="38">
        <f t="shared" si="2"/>
        <v>479.39572008846164</v>
      </c>
      <c r="G71" s="38">
        <f t="shared" si="7"/>
        <v>231.42731769436261</v>
      </c>
      <c r="H71" s="38">
        <f t="shared" si="8"/>
        <v>247.96840239409903</v>
      </c>
      <c r="I71" s="38">
        <f t="shared" si="3"/>
        <v>104176.32105876837</v>
      </c>
      <c r="J71" s="38">
        <f>SUM($H$18:$H71)</f>
        <v>14143.689943545303</v>
      </c>
      <c r="L71" s="56">
        <f t="shared" si="4"/>
        <v>0.48274798459122231</v>
      </c>
    </row>
    <row r="72" spans="1:12" x14ac:dyDescent="0.2">
      <c r="A72" s="35">
        <f t="shared" si="5"/>
        <v>55</v>
      </c>
      <c r="B72" s="36">
        <f t="shared" si="0"/>
        <v>43647</v>
      </c>
      <c r="C72" s="37">
        <f t="shared" si="6"/>
        <v>104176.32105876837</v>
      </c>
      <c r="D72" s="38">
        <f t="shared" si="9"/>
        <v>479.39572008846164</v>
      </c>
      <c r="E72" s="59">
        <f t="shared" si="1"/>
        <v>0</v>
      </c>
      <c r="F72" s="38">
        <f t="shared" si="2"/>
        <v>479.39572008846164</v>
      </c>
      <c r="G72" s="38">
        <f t="shared" si="7"/>
        <v>231.97695757388678</v>
      </c>
      <c r="H72" s="38">
        <f t="shared" si="8"/>
        <v>247.41876251457487</v>
      </c>
      <c r="I72" s="38">
        <f t="shared" si="3"/>
        <v>103944.34410119448</v>
      </c>
      <c r="J72" s="38">
        <f>SUM($H$18:$H72)</f>
        <v>14391.108706059878</v>
      </c>
      <c r="L72" s="56">
        <f t="shared" si="4"/>
        <v>0.48389451105462661</v>
      </c>
    </row>
    <row r="73" spans="1:12" x14ac:dyDescent="0.2">
      <c r="A73" s="35">
        <f t="shared" si="5"/>
        <v>56</v>
      </c>
      <c r="B73" s="36">
        <f t="shared" si="0"/>
        <v>43678</v>
      </c>
      <c r="C73" s="37">
        <f t="shared" si="6"/>
        <v>103944.34410119448</v>
      </c>
      <c r="D73" s="38">
        <f t="shared" si="9"/>
        <v>479.39572008846164</v>
      </c>
      <c r="E73" s="59">
        <f t="shared" si="1"/>
        <v>0</v>
      </c>
      <c r="F73" s="38">
        <f t="shared" si="2"/>
        <v>479.39572008846164</v>
      </c>
      <c r="G73" s="38">
        <f t="shared" si="7"/>
        <v>232.52790284812474</v>
      </c>
      <c r="H73" s="38">
        <f t="shared" si="8"/>
        <v>246.8678172403369</v>
      </c>
      <c r="I73" s="38">
        <f t="shared" si="3"/>
        <v>103711.81619834635</v>
      </c>
      <c r="J73" s="38">
        <f>SUM($H$18:$H73)</f>
        <v>14637.976523300214</v>
      </c>
      <c r="L73" s="56">
        <f t="shared" si="4"/>
        <v>0.48504376051838127</v>
      </c>
    </row>
    <row r="74" spans="1:12" x14ac:dyDescent="0.2">
      <c r="A74" s="35">
        <f t="shared" si="5"/>
        <v>57</v>
      </c>
      <c r="B74" s="36">
        <f t="shared" si="0"/>
        <v>43709</v>
      </c>
      <c r="C74" s="37">
        <f t="shared" si="6"/>
        <v>103711.81619834635</v>
      </c>
      <c r="D74" s="38">
        <f t="shared" si="9"/>
        <v>479.39572008846164</v>
      </c>
      <c r="E74" s="59">
        <f t="shared" si="1"/>
        <v>0</v>
      </c>
      <c r="F74" s="38">
        <f t="shared" si="2"/>
        <v>479.39572008846164</v>
      </c>
      <c r="G74" s="38">
        <f t="shared" si="7"/>
        <v>233.08015661738906</v>
      </c>
      <c r="H74" s="38">
        <f t="shared" si="8"/>
        <v>246.31556347107258</v>
      </c>
      <c r="I74" s="38">
        <f t="shared" si="3"/>
        <v>103478.73604172896</v>
      </c>
      <c r="J74" s="38">
        <f>SUM($H$18:$H74)</f>
        <v>14884.292086771287</v>
      </c>
      <c r="L74" s="56">
        <f t="shared" si="4"/>
        <v>0.48619573944961253</v>
      </c>
    </row>
    <row r="75" spans="1:12" x14ac:dyDescent="0.2">
      <c r="A75" s="35">
        <f t="shared" si="5"/>
        <v>58</v>
      </c>
      <c r="B75" s="36">
        <f t="shared" si="0"/>
        <v>43739</v>
      </c>
      <c r="C75" s="37">
        <f t="shared" si="6"/>
        <v>103478.73604172896</v>
      </c>
      <c r="D75" s="38">
        <f t="shared" si="9"/>
        <v>479.39572008846164</v>
      </c>
      <c r="E75" s="59">
        <f t="shared" si="1"/>
        <v>0</v>
      </c>
      <c r="F75" s="38">
        <f t="shared" si="2"/>
        <v>479.39572008846164</v>
      </c>
      <c r="G75" s="38">
        <f t="shared" si="7"/>
        <v>233.63372198935534</v>
      </c>
      <c r="H75" s="38">
        <f t="shared" si="8"/>
        <v>245.76199809910631</v>
      </c>
      <c r="I75" s="38">
        <f t="shared" si="3"/>
        <v>103245.1023197396</v>
      </c>
      <c r="J75" s="38">
        <f>SUM($H$18:$H75)</f>
        <v>15130.054084870393</v>
      </c>
      <c r="L75" s="56">
        <f t="shared" si="4"/>
        <v>0.48735045433080526</v>
      </c>
    </row>
    <row r="76" spans="1:12" x14ac:dyDescent="0.2">
      <c r="A76" s="35">
        <f t="shared" si="5"/>
        <v>59</v>
      </c>
      <c r="B76" s="36">
        <f t="shared" si="0"/>
        <v>43770</v>
      </c>
      <c r="C76" s="37">
        <f t="shared" si="6"/>
        <v>103245.1023197396</v>
      </c>
      <c r="D76" s="38">
        <f t="shared" si="9"/>
        <v>479.39572008846164</v>
      </c>
      <c r="E76" s="59">
        <f t="shared" si="1"/>
        <v>0</v>
      </c>
      <c r="F76" s="38">
        <f t="shared" si="2"/>
        <v>479.39572008846164</v>
      </c>
      <c r="G76" s="38">
        <f t="shared" si="7"/>
        <v>234.18860207908008</v>
      </c>
      <c r="H76" s="38">
        <f t="shared" si="8"/>
        <v>245.20711800938156</v>
      </c>
      <c r="I76" s="38">
        <f t="shared" si="3"/>
        <v>103010.91371766051</v>
      </c>
      <c r="J76" s="38">
        <f>SUM($H$18:$H76)</f>
        <v>15375.261202879774</v>
      </c>
      <c r="L76" s="56">
        <f t="shared" si="4"/>
        <v>0.48850791165984098</v>
      </c>
    </row>
    <row r="77" spans="1:12" x14ac:dyDescent="0.2">
      <c r="A77" s="35">
        <f t="shared" si="5"/>
        <v>60</v>
      </c>
      <c r="B77" s="36">
        <f t="shared" si="0"/>
        <v>43800</v>
      </c>
      <c r="C77" s="37">
        <f t="shared" si="6"/>
        <v>103010.91371766051</v>
      </c>
      <c r="D77" s="38">
        <f t="shared" si="9"/>
        <v>479.39572008846164</v>
      </c>
      <c r="E77" s="59">
        <f t="shared" si="1"/>
        <v>0</v>
      </c>
      <c r="F77" s="38">
        <f t="shared" si="2"/>
        <v>479.39572008846164</v>
      </c>
      <c r="G77" s="38">
        <f t="shared" si="7"/>
        <v>234.74480000901792</v>
      </c>
      <c r="H77" s="38">
        <f t="shared" si="8"/>
        <v>244.65092007944372</v>
      </c>
      <c r="I77" s="38">
        <f t="shared" si="3"/>
        <v>102776.16891765149</v>
      </c>
      <c r="J77" s="38">
        <f>SUM($H$18:$H77)</f>
        <v>15619.912122959218</v>
      </c>
      <c r="K77" s="1">
        <f>J77-J65</f>
        <v>2972.231719254145</v>
      </c>
      <c r="L77" s="56">
        <f t="shared" si="4"/>
        <v>0.48966811795003318</v>
      </c>
    </row>
    <row r="78" spans="1:12" x14ac:dyDescent="0.2">
      <c r="A78" s="35">
        <f t="shared" si="5"/>
        <v>61</v>
      </c>
      <c r="B78" s="36">
        <f t="shared" si="0"/>
        <v>43831</v>
      </c>
      <c r="C78" s="37">
        <f t="shared" si="6"/>
        <v>102776.16891765149</v>
      </c>
      <c r="D78" s="38">
        <f t="shared" si="9"/>
        <v>479.39572008846164</v>
      </c>
      <c r="E78" s="59">
        <f t="shared" si="1"/>
        <v>0</v>
      </c>
      <c r="F78" s="38">
        <f t="shared" si="2"/>
        <v>479.39572008846164</v>
      </c>
      <c r="G78" s="38">
        <f t="shared" si="7"/>
        <v>235.30231890903931</v>
      </c>
      <c r="H78" s="38">
        <f t="shared" si="8"/>
        <v>244.09340117942233</v>
      </c>
      <c r="I78" s="38">
        <f t="shared" si="3"/>
        <v>102540.86659874245</v>
      </c>
      <c r="J78" s="38">
        <f>SUM($H$18:$H78)</f>
        <v>15864.00552413864</v>
      </c>
      <c r="K78" s="34"/>
      <c r="L78" s="56">
        <f t="shared" si="4"/>
        <v>0.49083107973016443</v>
      </c>
    </row>
    <row r="79" spans="1:12" x14ac:dyDescent="0.2">
      <c r="A79" s="35">
        <f t="shared" si="5"/>
        <v>62</v>
      </c>
      <c r="B79" s="36">
        <f t="shared" si="0"/>
        <v>43862</v>
      </c>
      <c r="C79" s="37">
        <f t="shared" si="6"/>
        <v>102540.86659874245</v>
      </c>
      <c r="D79" s="38">
        <f t="shared" si="9"/>
        <v>479.39572008846164</v>
      </c>
      <c r="E79" s="59">
        <f t="shared" si="1"/>
        <v>0</v>
      </c>
      <c r="F79" s="38">
        <f t="shared" si="2"/>
        <v>479.39572008846164</v>
      </c>
      <c r="G79" s="38">
        <f t="shared" si="7"/>
        <v>235.86116191644831</v>
      </c>
      <c r="H79" s="38">
        <f t="shared" si="8"/>
        <v>243.53455817201333</v>
      </c>
      <c r="I79" s="38">
        <f t="shared" si="3"/>
        <v>102305.005436826</v>
      </c>
      <c r="J79" s="38">
        <f>SUM($H$18:$H79)</f>
        <v>16107.540082310654</v>
      </c>
      <c r="K79" s="34"/>
      <c r="L79" s="56">
        <f t="shared" si="4"/>
        <v>0.49199680354452363</v>
      </c>
    </row>
    <row r="80" spans="1:12" x14ac:dyDescent="0.2">
      <c r="A80" s="35">
        <f t="shared" si="5"/>
        <v>63</v>
      </c>
      <c r="B80" s="36">
        <f t="shared" si="0"/>
        <v>43891</v>
      </c>
      <c r="C80" s="37">
        <f t="shared" si="6"/>
        <v>102305.005436826</v>
      </c>
      <c r="D80" s="38">
        <f t="shared" si="9"/>
        <v>479.39572008846164</v>
      </c>
      <c r="E80" s="59">
        <f t="shared" si="1"/>
        <v>0</v>
      </c>
      <c r="F80" s="38">
        <f t="shared" si="2"/>
        <v>479.39572008846164</v>
      </c>
      <c r="G80" s="38">
        <f t="shared" si="7"/>
        <v>236.42133217599988</v>
      </c>
      <c r="H80" s="38">
        <f t="shared" si="8"/>
        <v>242.97438791246176</v>
      </c>
      <c r="I80" s="38">
        <f t="shared" si="3"/>
        <v>102068.58410465</v>
      </c>
      <c r="J80" s="38">
        <f>SUM($H$18:$H80)</f>
        <v>16350.514470223115</v>
      </c>
      <c r="K80" s="34"/>
      <c r="L80" s="56">
        <f t="shared" si="4"/>
        <v>0.4931652959529419</v>
      </c>
    </row>
    <row r="81" spans="1:12" x14ac:dyDescent="0.2">
      <c r="A81" s="35">
        <f t="shared" si="5"/>
        <v>64</v>
      </c>
      <c r="B81" s="36">
        <f t="shared" si="0"/>
        <v>43922</v>
      </c>
      <c r="C81" s="37">
        <f t="shared" si="6"/>
        <v>102068.58410465</v>
      </c>
      <c r="D81" s="38">
        <f t="shared" si="9"/>
        <v>479.39572008846164</v>
      </c>
      <c r="E81" s="59">
        <f t="shared" si="1"/>
        <v>0</v>
      </c>
      <c r="F81" s="38">
        <f t="shared" si="2"/>
        <v>479.39572008846164</v>
      </c>
      <c r="G81" s="38">
        <f t="shared" si="7"/>
        <v>236.9828328399179</v>
      </c>
      <c r="H81" s="38">
        <f t="shared" si="8"/>
        <v>242.41288724854374</v>
      </c>
      <c r="I81" s="38">
        <f t="shared" si="3"/>
        <v>101831.60127181008</v>
      </c>
      <c r="J81" s="38">
        <f>SUM($H$18:$H81)</f>
        <v>16592.927357471661</v>
      </c>
      <c r="K81" s="34"/>
      <c r="L81" s="56">
        <f t="shared" si="4"/>
        <v>0.49433656353083016</v>
      </c>
    </row>
    <row r="82" spans="1:12" x14ac:dyDescent="0.2">
      <c r="A82" s="35">
        <f t="shared" si="5"/>
        <v>65</v>
      </c>
      <c r="B82" s="36">
        <f t="shared" ref="B82:B145" si="10">IF(Pay_Num&lt;&gt;"",DATE(YEAR(Loan_Start),MONTH(Loan_Start)+(Pay_Num)*12/Num_Pmt_Per_Year,DAY(Loan_Start)),"")</f>
        <v>43952</v>
      </c>
      <c r="C82" s="37">
        <f t="shared" si="6"/>
        <v>101831.60127181008</v>
      </c>
      <c r="D82" s="38">
        <f t="shared" si="9"/>
        <v>479.39572008846164</v>
      </c>
      <c r="E82" s="59">
        <f t="shared" ref="E82:E145" si="11">IF(AND(Pay_Num&lt;&gt;"",Sched_Pay+Scheduled_Extra_Payments&lt;Beg_Bal),Scheduled_Extra_Payments,IF(AND(Pay_Num&lt;&gt;"",Beg_Bal-Sched_Pay&gt;0),Beg_Bal-Sched_Pay,IF(Pay_Num&lt;&gt;"",0,"")))</f>
        <v>0</v>
      </c>
      <c r="F82" s="38">
        <f t="shared" ref="F82:F145" si="12">IF(AND(Pay_Num&lt;&gt;"",Sched_Pay+Extra_Pay&lt;Beg_Bal),Sched_Pay+Extra_Pay,IF(Pay_Num&lt;&gt;"",Beg_Bal,""))</f>
        <v>479.39572008846164</v>
      </c>
      <c r="G82" s="38">
        <f t="shared" si="7"/>
        <v>237.54566706791266</v>
      </c>
      <c r="H82" s="38">
        <f t="shared" si="8"/>
        <v>241.85005302054898</v>
      </c>
      <c r="I82" s="38">
        <f t="shared" ref="I82:I145" si="13">IF(AND(Pay_Num&lt;&gt;"",Sched_Pay+Extra_Pay&lt;Beg_Bal),Beg_Bal-Princ,IF(Pay_Num&lt;&gt;"",0,""))</f>
        <v>101594.05560474217</v>
      </c>
      <c r="J82" s="38">
        <f>SUM($H$18:$H82)</f>
        <v>16834.77741049221</v>
      </c>
      <c r="K82" s="34"/>
      <c r="L82" s="56">
        <f t="shared" ref="L82:L145" si="14">G82/F82</f>
        <v>0.49551061286921583</v>
      </c>
    </row>
    <row r="83" spans="1:12" x14ac:dyDescent="0.2">
      <c r="A83" s="35">
        <f t="shared" ref="A83:A146" si="15">IF(Values_Entered,A82+1,"")</f>
        <v>66</v>
      </c>
      <c r="B83" s="36">
        <f t="shared" si="10"/>
        <v>43983</v>
      </c>
      <c r="C83" s="37">
        <f t="shared" ref="C83:C146" si="16">IF(Pay_Num&lt;&gt;"",I82,"")</f>
        <v>101594.05560474217</v>
      </c>
      <c r="D83" s="38">
        <f t="shared" si="9"/>
        <v>479.39572008846164</v>
      </c>
      <c r="E83" s="59">
        <f t="shared" si="11"/>
        <v>0</v>
      </c>
      <c r="F83" s="38">
        <f t="shared" si="12"/>
        <v>479.39572008846164</v>
      </c>
      <c r="G83" s="38">
        <f t="shared" ref="G83:G146" si="17">IF(Pay_Num&lt;&gt;"",Total_Pay-Int,"")</f>
        <v>238.10983802719898</v>
      </c>
      <c r="H83" s="38">
        <f t="shared" ref="H83:H146" si="18">IF(Pay_Num&lt;&gt;"",Beg_Bal*Interest_Rate/Num_Pmt_Per_Year,"")</f>
        <v>241.28588206126267</v>
      </c>
      <c r="I83" s="38">
        <f t="shared" si="13"/>
        <v>101355.94576671497</v>
      </c>
      <c r="J83" s="38">
        <f>SUM($H$18:$H83)</f>
        <v>17076.063292553474</v>
      </c>
      <c r="L83" s="56">
        <f t="shared" si="14"/>
        <v>0.49668745057478025</v>
      </c>
    </row>
    <row r="84" spans="1:12" x14ac:dyDescent="0.2">
      <c r="A84" s="35">
        <f t="shared" si="15"/>
        <v>67</v>
      </c>
      <c r="B84" s="36">
        <f t="shared" si="10"/>
        <v>44013</v>
      </c>
      <c r="C84" s="37">
        <f t="shared" si="16"/>
        <v>101355.94576671497</v>
      </c>
      <c r="D84" s="38">
        <f t="shared" ref="D84:D147" si="19">IF(Pay_Num&lt;&gt;"",Scheduled_Monthly_Payment,"")</f>
        <v>479.39572008846164</v>
      </c>
      <c r="E84" s="59">
        <f t="shared" si="11"/>
        <v>0</v>
      </c>
      <c r="F84" s="38">
        <f t="shared" si="12"/>
        <v>479.39572008846164</v>
      </c>
      <c r="G84" s="38">
        <f t="shared" si="17"/>
        <v>238.6753488925136</v>
      </c>
      <c r="H84" s="38">
        <f t="shared" si="18"/>
        <v>240.72037119594805</v>
      </c>
      <c r="I84" s="38">
        <f t="shared" si="13"/>
        <v>101117.27041782245</v>
      </c>
      <c r="J84" s="38">
        <f>SUM($H$18:$H84)</f>
        <v>17316.783663749422</v>
      </c>
      <c r="L84" s="56">
        <f t="shared" si="14"/>
        <v>0.49786708326989537</v>
      </c>
    </row>
    <row r="85" spans="1:12" x14ac:dyDescent="0.2">
      <c r="A85" s="35">
        <f t="shared" si="15"/>
        <v>68</v>
      </c>
      <c r="B85" s="36">
        <f t="shared" si="10"/>
        <v>44044</v>
      </c>
      <c r="C85" s="37">
        <f t="shared" si="16"/>
        <v>101117.27041782245</v>
      </c>
      <c r="D85" s="38">
        <f t="shared" si="19"/>
        <v>479.39572008846164</v>
      </c>
      <c r="E85" s="59">
        <f t="shared" si="11"/>
        <v>0</v>
      </c>
      <c r="F85" s="38">
        <f t="shared" si="12"/>
        <v>479.39572008846164</v>
      </c>
      <c r="G85" s="38">
        <f t="shared" si="17"/>
        <v>239.2422028461333</v>
      </c>
      <c r="H85" s="38">
        <f t="shared" si="18"/>
        <v>240.15351724232835</v>
      </c>
      <c r="I85" s="38">
        <f t="shared" si="13"/>
        <v>100878.02821497632</v>
      </c>
      <c r="J85" s="38">
        <f>SUM($H$18:$H85)</f>
        <v>17556.93718099175</v>
      </c>
      <c r="L85" s="56">
        <f t="shared" si="14"/>
        <v>0.49904951759266136</v>
      </c>
    </row>
    <row r="86" spans="1:12" x14ac:dyDescent="0.2">
      <c r="A86" s="35">
        <f t="shared" si="15"/>
        <v>69</v>
      </c>
      <c r="B86" s="36">
        <f t="shared" si="10"/>
        <v>44075</v>
      </c>
      <c r="C86" s="37">
        <f t="shared" si="16"/>
        <v>100878.02821497632</v>
      </c>
      <c r="D86" s="38">
        <f t="shared" si="19"/>
        <v>479.39572008846164</v>
      </c>
      <c r="E86" s="59">
        <f t="shared" si="11"/>
        <v>0</v>
      </c>
      <c r="F86" s="38">
        <f t="shared" si="12"/>
        <v>479.39572008846164</v>
      </c>
      <c r="G86" s="38">
        <f t="shared" si="17"/>
        <v>239.81040307789286</v>
      </c>
      <c r="H86" s="38">
        <f t="shared" si="18"/>
        <v>239.58531701056879</v>
      </c>
      <c r="I86" s="38">
        <f t="shared" si="13"/>
        <v>100638.21781189843</v>
      </c>
      <c r="J86" s="38">
        <f>SUM($H$18:$H86)</f>
        <v>17796.522498002319</v>
      </c>
      <c r="L86" s="56">
        <f t="shared" si="14"/>
        <v>0.50023476019694391</v>
      </c>
    </row>
    <row r="87" spans="1:12" x14ac:dyDescent="0.2">
      <c r="A87" s="35">
        <f t="shared" si="15"/>
        <v>70</v>
      </c>
      <c r="B87" s="36">
        <f t="shared" si="10"/>
        <v>44105</v>
      </c>
      <c r="C87" s="37">
        <f t="shared" si="16"/>
        <v>100638.21781189843</v>
      </c>
      <c r="D87" s="38">
        <f t="shared" si="19"/>
        <v>479.39572008846164</v>
      </c>
      <c r="E87" s="59">
        <f t="shared" si="11"/>
        <v>0</v>
      </c>
      <c r="F87" s="38">
        <f t="shared" si="12"/>
        <v>479.39572008846164</v>
      </c>
      <c r="G87" s="38">
        <f t="shared" si="17"/>
        <v>240.37995278520285</v>
      </c>
      <c r="H87" s="38">
        <f t="shared" si="18"/>
        <v>239.0157673032588</v>
      </c>
      <c r="I87" s="38">
        <f t="shared" si="13"/>
        <v>100397.83785911322</v>
      </c>
      <c r="J87" s="38">
        <f>SUM($H$18:$H87)</f>
        <v>18035.538265305579</v>
      </c>
      <c r="L87" s="56">
        <f t="shared" si="14"/>
        <v>0.5014228177524116</v>
      </c>
    </row>
    <row r="88" spans="1:12" x14ac:dyDescent="0.2">
      <c r="A88" s="35">
        <f t="shared" si="15"/>
        <v>71</v>
      </c>
      <c r="B88" s="36">
        <f t="shared" si="10"/>
        <v>44136</v>
      </c>
      <c r="C88" s="37">
        <f t="shared" si="16"/>
        <v>100397.83785911322</v>
      </c>
      <c r="D88" s="38">
        <f t="shared" si="19"/>
        <v>479.39572008846164</v>
      </c>
      <c r="E88" s="59">
        <f t="shared" si="11"/>
        <v>0</v>
      </c>
      <c r="F88" s="38">
        <f t="shared" si="12"/>
        <v>479.39572008846164</v>
      </c>
      <c r="G88" s="38">
        <f t="shared" si="17"/>
        <v>240.95085517306777</v>
      </c>
      <c r="H88" s="38">
        <f t="shared" si="18"/>
        <v>238.44486491539388</v>
      </c>
      <c r="I88" s="38">
        <f t="shared" si="13"/>
        <v>100156.88700394015</v>
      </c>
      <c r="J88" s="38">
        <f>SUM($H$18:$H88)</f>
        <v>18273.983130220971</v>
      </c>
      <c r="L88" s="56">
        <f t="shared" si="14"/>
        <v>0.5026136969445737</v>
      </c>
    </row>
    <row r="89" spans="1:12" x14ac:dyDescent="0.2">
      <c r="A89" s="35">
        <f t="shared" si="15"/>
        <v>72</v>
      </c>
      <c r="B89" s="36">
        <f t="shared" si="10"/>
        <v>44166</v>
      </c>
      <c r="C89" s="37">
        <f t="shared" si="16"/>
        <v>100156.88700394015</v>
      </c>
      <c r="D89" s="38">
        <f t="shared" si="19"/>
        <v>479.39572008846164</v>
      </c>
      <c r="E89" s="59">
        <f t="shared" si="11"/>
        <v>0</v>
      </c>
      <c r="F89" s="38">
        <f t="shared" si="12"/>
        <v>479.39572008846164</v>
      </c>
      <c r="G89" s="38">
        <f t="shared" si="17"/>
        <v>241.52311345410376</v>
      </c>
      <c r="H89" s="38">
        <f t="shared" si="18"/>
        <v>237.87260663435788</v>
      </c>
      <c r="I89" s="38">
        <f t="shared" si="13"/>
        <v>99915.363890486042</v>
      </c>
      <c r="J89" s="38">
        <f>SUM($H$18:$H89)</f>
        <v>18511.85573685533</v>
      </c>
      <c r="K89" s="1">
        <f>J89-J77</f>
        <v>2891.9436138961119</v>
      </c>
      <c r="L89" s="56">
        <f t="shared" si="14"/>
        <v>0.50380740447481698</v>
      </c>
    </row>
    <row r="90" spans="1:12" x14ac:dyDescent="0.2">
      <c r="A90" s="35">
        <f t="shared" si="15"/>
        <v>73</v>
      </c>
      <c r="B90" s="36">
        <f t="shared" si="10"/>
        <v>44197</v>
      </c>
      <c r="C90" s="37">
        <f t="shared" si="16"/>
        <v>99915.363890486042</v>
      </c>
      <c r="D90" s="38">
        <f t="shared" si="19"/>
        <v>479.39572008846164</v>
      </c>
      <c r="E90" s="59">
        <f t="shared" si="11"/>
        <v>0</v>
      </c>
      <c r="F90" s="38">
        <f t="shared" si="12"/>
        <v>479.39572008846164</v>
      </c>
      <c r="G90" s="38">
        <f t="shared" si="17"/>
        <v>242.09673084855729</v>
      </c>
      <c r="H90" s="38">
        <f t="shared" si="18"/>
        <v>237.29898923990436</v>
      </c>
      <c r="I90" s="38">
        <f t="shared" si="13"/>
        <v>99673.267159637486</v>
      </c>
      <c r="J90" s="38">
        <f>SUM($H$18:$H90)</f>
        <v>18749.154726095236</v>
      </c>
      <c r="K90" s="34"/>
      <c r="L90" s="56">
        <f t="shared" si="14"/>
        <v>0.50500394706044482</v>
      </c>
    </row>
    <row r="91" spans="1:12" x14ac:dyDescent="0.2">
      <c r="A91" s="35">
        <f t="shared" si="15"/>
        <v>74</v>
      </c>
      <c r="B91" s="36">
        <f t="shared" si="10"/>
        <v>44228</v>
      </c>
      <c r="C91" s="37">
        <f t="shared" si="16"/>
        <v>99673.267159637486</v>
      </c>
      <c r="D91" s="38">
        <f t="shared" si="19"/>
        <v>479.39572008846164</v>
      </c>
      <c r="E91" s="59">
        <f t="shared" si="11"/>
        <v>0</v>
      </c>
      <c r="F91" s="38">
        <f t="shared" si="12"/>
        <v>479.39572008846164</v>
      </c>
      <c r="G91" s="38">
        <f t="shared" si="17"/>
        <v>242.6717105843226</v>
      </c>
      <c r="H91" s="38">
        <f t="shared" si="18"/>
        <v>236.72400950413905</v>
      </c>
      <c r="I91" s="38">
        <f t="shared" si="13"/>
        <v>99430.595449053159</v>
      </c>
      <c r="J91" s="38">
        <f>SUM($H$18:$H91)</f>
        <v>18985.878735599374</v>
      </c>
      <c r="K91" s="34"/>
      <c r="L91" s="56">
        <f t="shared" si="14"/>
        <v>0.5062033314347133</v>
      </c>
    </row>
    <row r="92" spans="1:12" x14ac:dyDescent="0.2">
      <c r="A92" s="35">
        <f t="shared" si="15"/>
        <v>75</v>
      </c>
      <c r="B92" s="36">
        <f t="shared" si="10"/>
        <v>44256</v>
      </c>
      <c r="C92" s="37">
        <f t="shared" si="16"/>
        <v>99430.595449053159</v>
      </c>
      <c r="D92" s="38">
        <f t="shared" si="19"/>
        <v>479.39572008846164</v>
      </c>
      <c r="E92" s="59">
        <f t="shared" si="11"/>
        <v>0</v>
      </c>
      <c r="F92" s="38">
        <f t="shared" si="12"/>
        <v>479.39572008846164</v>
      </c>
      <c r="G92" s="38">
        <f t="shared" si="17"/>
        <v>243.24805589696038</v>
      </c>
      <c r="H92" s="38">
        <f t="shared" si="18"/>
        <v>236.14766419150126</v>
      </c>
      <c r="I92" s="38">
        <f t="shared" si="13"/>
        <v>99187.347393156204</v>
      </c>
      <c r="J92" s="38">
        <f>SUM($H$18:$H92)</f>
        <v>19222.026399790873</v>
      </c>
      <c r="K92" s="34"/>
      <c r="L92" s="56">
        <f t="shared" si="14"/>
        <v>0.50740556434687079</v>
      </c>
    </row>
    <row r="93" spans="1:12" x14ac:dyDescent="0.2">
      <c r="A93" s="35">
        <f t="shared" si="15"/>
        <v>76</v>
      </c>
      <c r="B93" s="36">
        <f t="shared" si="10"/>
        <v>44287</v>
      </c>
      <c r="C93" s="37">
        <f t="shared" si="16"/>
        <v>99187.347393156204</v>
      </c>
      <c r="D93" s="38">
        <f t="shared" si="19"/>
        <v>479.39572008846164</v>
      </c>
      <c r="E93" s="59">
        <f t="shared" si="11"/>
        <v>0</v>
      </c>
      <c r="F93" s="38">
        <f t="shared" si="12"/>
        <v>479.39572008846164</v>
      </c>
      <c r="G93" s="38">
        <f t="shared" si="17"/>
        <v>243.82577002971564</v>
      </c>
      <c r="H93" s="38">
        <f t="shared" si="18"/>
        <v>235.569950058746</v>
      </c>
      <c r="I93" s="38">
        <f t="shared" si="13"/>
        <v>98943.521623126493</v>
      </c>
      <c r="J93" s="38">
        <f>SUM($H$18:$H93)</f>
        <v>19457.59634984962</v>
      </c>
      <c r="K93" s="34"/>
      <c r="L93" s="56">
        <f t="shared" si="14"/>
        <v>0.50861065256219451</v>
      </c>
    </row>
    <row r="94" spans="1:12" x14ac:dyDescent="0.2">
      <c r="A94" s="35">
        <f t="shared" si="15"/>
        <v>77</v>
      </c>
      <c r="B94" s="36">
        <f t="shared" si="10"/>
        <v>44317</v>
      </c>
      <c r="C94" s="37">
        <f t="shared" si="16"/>
        <v>98943.521623126493</v>
      </c>
      <c r="D94" s="38">
        <f t="shared" si="19"/>
        <v>479.39572008846164</v>
      </c>
      <c r="E94" s="59">
        <f t="shared" si="11"/>
        <v>0</v>
      </c>
      <c r="F94" s="38">
        <f t="shared" si="12"/>
        <v>479.39572008846164</v>
      </c>
      <c r="G94" s="38">
        <f t="shared" si="17"/>
        <v>244.40485623353621</v>
      </c>
      <c r="H94" s="38">
        <f t="shared" si="18"/>
        <v>234.99086385492544</v>
      </c>
      <c r="I94" s="38">
        <f t="shared" si="13"/>
        <v>98699.116766892956</v>
      </c>
      <c r="J94" s="38">
        <f>SUM($H$18:$H94)</f>
        <v>19692.587213704544</v>
      </c>
      <c r="K94" s="34"/>
      <c r="L94" s="56">
        <f t="shared" si="14"/>
        <v>0.50981860286202973</v>
      </c>
    </row>
    <row r="95" spans="1:12" x14ac:dyDescent="0.2">
      <c r="A95" s="35">
        <f t="shared" si="15"/>
        <v>78</v>
      </c>
      <c r="B95" s="36">
        <f t="shared" si="10"/>
        <v>44348</v>
      </c>
      <c r="C95" s="37">
        <f t="shared" si="16"/>
        <v>98699.116766892956</v>
      </c>
      <c r="D95" s="38">
        <f t="shared" si="19"/>
        <v>479.39572008846164</v>
      </c>
      <c r="E95" s="59">
        <f t="shared" si="11"/>
        <v>0</v>
      </c>
      <c r="F95" s="38">
        <f t="shared" si="12"/>
        <v>479.39572008846164</v>
      </c>
      <c r="G95" s="38">
        <f t="shared" si="17"/>
        <v>244.98531776709089</v>
      </c>
      <c r="H95" s="38">
        <f t="shared" si="18"/>
        <v>234.41040232137075</v>
      </c>
      <c r="I95" s="38">
        <f t="shared" si="13"/>
        <v>98454.131449125867</v>
      </c>
      <c r="J95" s="38">
        <f>SUM($H$18:$H95)</f>
        <v>19926.997616025914</v>
      </c>
      <c r="L95" s="56">
        <f t="shared" si="14"/>
        <v>0.51102942204382718</v>
      </c>
    </row>
    <row r="96" spans="1:12" x14ac:dyDescent="0.2">
      <c r="A96" s="35">
        <f t="shared" si="15"/>
        <v>79</v>
      </c>
      <c r="B96" s="36">
        <f t="shared" si="10"/>
        <v>44378</v>
      </c>
      <c r="C96" s="37">
        <f t="shared" si="16"/>
        <v>98454.131449125867</v>
      </c>
      <c r="D96" s="38">
        <f t="shared" si="19"/>
        <v>479.39572008846164</v>
      </c>
      <c r="E96" s="59">
        <f t="shared" si="11"/>
        <v>0</v>
      </c>
      <c r="F96" s="38">
        <f t="shared" si="12"/>
        <v>479.39572008846164</v>
      </c>
      <c r="G96" s="38">
        <f t="shared" si="17"/>
        <v>245.56715789678768</v>
      </c>
      <c r="H96" s="38">
        <f t="shared" si="18"/>
        <v>233.82856219167397</v>
      </c>
      <c r="I96" s="38">
        <f t="shared" si="13"/>
        <v>98208.564291229079</v>
      </c>
      <c r="J96" s="38">
        <f>SUM($H$18:$H96)</f>
        <v>20160.826178217587</v>
      </c>
      <c r="L96" s="56">
        <f t="shared" si="14"/>
        <v>0.51224311692118107</v>
      </c>
    </row>
    <row r="97" spans="1:12" x14ac:dyDescent="0.2">
      <c r="A97" s="35">
        <f t="shared" si="15"/>
        <v>80</v>
      </c>
      <c r="B97" s="36">
        <f t="shared" si="10"/>
        <v>44409</v>
      </c>
      <c r="C97" s="37">
        <f t="shared" si="16"/>
        <v>98208.564291229079</v>
      </c>
      <c r="D97" s="38">
        <f t="shared" si="19"/>
        <v>479.39572008846164</v>
      </c>
      <c r="E97" s="59">
        <f t="shared" si="11"/>
        <v>0</v>
      </c>
      <c r="F97" s="38">
        <f t="shared" si="12"/>
        <v>479.39572008846164</v>
      </c>
      <c r="G97" s="38">
        <f t="shared" si="17"/>
        <v>246.1503798967926</v>
      </c>
      <c r="H97" s="38">
        <f t="shared" si="18"/>
        <v>233.24534019166904</v>
      </c>
      <c r="I97" s="38">
        <f t="shared" si="13"/>
        <v>97962.413911332289</v>
      </c>
      <c r="J97" s="38">
        <f>SUM($H$18:$H97)</f>
        <v>20394.071518409255</v>
      </c>
      <c r="L97" s="56">
        <f t="shared" si="14"/>
        <v>0.51345969432386906</v>
      </c>
    </row>
    <row r="98" spans="1:12" x14ac:dyDescent="0.2">
      <c r="A98" s="35">
        <f t="shared" si="15"/>
        <v>81</v>
      </c>
      <c r="B98" s="36">
        <f t="shared" si="10"/>
        <v>44440</v>
      </c>
      <c r="C98" s="37">
        <f t="shared" si="16"/>
        <v>97962.413911332289</v>
      </c>
      <c r="D98" s="38">
        <f t="shared" si="19"/>
        <v>479.39572008846164</v>
      </c>
      <c r="E98" s="59">
        <f t="shared" si="11"/>
        <v>0</v>
      </c>
      <c r="F98" s="38">
        <f t="shared" si="12"/>
        <v>479.39572008846164</v>
      </c>
      <c r="G98" s="38">
        <f t="shared" si="17"/>
        <v>246.73498704904748</v>
      </c>
      <c r="H98" s="38">
        <f t="shared" si="18"/>
        <v>232.66073303941417</v>
      </c>
      <c r="I98" s="38">
        <f t="shared" si="13"/>
        <v>97715.678924283246</v>
      </c>
      <c r="J98" s="38">
        <f>SUM($H$18:$H98)</f>
        <v>20626.73225144867</v>
      </c>
      <c r="L98" s="56">
        <f t="shared" si="14"/>
        <v>0.51467916109788825</v>
      </c>
    </row>
    <row r="99" spans="1:12" x14ac:dyDescent="0.2">
      <c r="A99" s="35">
        <f t="shared" si="15"/>
        <v>82</v>
      </c>
      <c r="B99" s="36">
        <f t="shared" si="10"/>
        <v>44470</v>
      </c>
      <c r="C99" s="37">
        <f t="shared" si="16"/>
        <v>97715.678924283246</v>
      </c>
      <c r="D99" s="38">
        <f t="shared" si="19"/>
        <v>479.39572008846164</v>
      </c>
      <c r="E99" s="59">
        <f t="shared" si="11"/>
        <v>0</v>
      </c>
      <c r="F99" s="38">
        <f t="shared" si="12"/>
        <v>479.39572008846164</v>
      </c>
      <c r="G99" s="38">
        <f t="shared" si="17"/>
        <v>247.32098264328894</v>
      </c>
      <c r="H99" s="38">
        <f t="shared" si="18"/>
        <v>232.0747374451727</v>
      </c>
      <c r="I99" s="38">
        <f t="shared" si="13"/>
        <v>97468.357941639959</v>
      </c>
      <c r="J99" s="38">
        <f>SUM($H$18:$H99)</f>
        <v>20858.806988893841</v>
      </c>
      <c r="L99" s="56">
        <f t="shared" si="14"/>
        <v>0.51590152410549561</v>
      </c>
    </row>
    <row r="100" spans="1:12" x14ac:dyDescent="0.2">
      <c r="A100" s="35">
        <f t="shared" si="15"/>
        <v>83</v>
      </c>
      <c r="B100" s="36">
        <f t="shared" si="10"/>
        <v>44501</v>
      </c>
      <c r="C100" s="37">
        <f t="shared" si="16"/>
        <v>97468.357941639959</v>
      </c>
      <c r="D100" s="38">
        <f t="shared" si="19"/>
        <v>479.39572008846164</v>
      </c>
      <c r="E100" s="59">
        <f t="shared" si="11"/>
        <v>0</v>
      </c>
      <c r="F100" s="38">
        <f t="shared" si="12"/>
        <v>479.39572008846164</v>
      </c>
      <c r="G100" s="38">
        <f t="shared" si="17"/>
        <v>247.90836997706674</v>
      </c>
      <c r="H100" s="38">
        <f t="shared" si="18"/>
        <v>231.4873501113949</v>
      </c>
      <c r="I100" s="38">
        <f t="shared" si="13"/>
        <v>97220.449571662888</v>
      </c>
      <c r="J100" s="38">
        <f>SUM($H$18:$H100)</f>
        <v>21090.294339005235</v>
      </c>
      <c r="L100" s="56">
        <f t="shared" si="14"/>
        <v>0.51712679022524621</v>
      </c>
    </row>
    <row r="101" spans="1:12" x14ac:dyDescent="0.2">
      <c r="A101" s="35">
        <f t="shared" si="15"/>
        <v>84</v>
      </c>
      <c r="B101" s="36">
        <f t="shared" si="10"/>
        <v>44531</v>
      </c>
      <c r="C101" s="37">
        <f t="shared" si="16"/>
        <v>97220.449571662888</v>
      </c>
      <c r="D101" s="38">
        <f t="shared" si="19"/>
        <v>479.39572008846164</v>
      </c>
      <c r="E101" s="59">
        <f t="shared" si="11"/>
        <v>0</v>
      </c>
      <c r="F101" s="38">
        <f t="shared" si="12"/>
        <v>479.39572008846164</v>
      </c>
      <c r="G101" s="38">
        <f t="shared" si="17"/>
        <v>248.49715235576227</v>
      </c>
      <c r="H101" s="38">
        <f t="shared" si="18"/>
        <v>230.89856773269938</v>
      </c>
      <c r="I101" s="38">
        <f t="shared" si="13"/>
        <v>96971.952419307127</v>
      </c>
      <c r="J101" s="38">
        <f>SUM($H$18:$H101)</f>
        <v>21321.192906737935</v>
      </c>
      <c r="K101" s="1">
        <f>J101-J89</f>
        <v>2809.3371698826049</v>
      </c>
      <c r="L101" s="56">
        <f t="shared" si="14"/>
        <v>0.51835496635203115</v>
      </c>
    </row>
    <row r="102" spans="1:12" x14ac:dyDescent="0.2">
      <c r="A102" s="35">
        <f t="shared" si="15"/>
        <v>85</v>
      </c>
      <c r="B102" s="36">
        <f t="shared" si="10"/>
        <v>44562</v>
      </c>
      <c r="C102" s="37">
        <f t="shared" si="16"/>
        <v>96971.952419307127</v>
      </c>
      <c r="D102" s="38">
        <f t="shared" si="19"/>
        <v>479.39572008846164</v>
      </c>
      <c r="E102" s="59">
        <f t="shared" si="11"/>
        <v>0</v>
      </c>
      <c r="F102" s="38">
        <f t="shared" si="12"/>
        <v>479.39572008846164</v>
      </c>
      <c r="G102" s="38">
        <f t="shared" si="17"/>
        <v>249.0873330926072</v>
      </c>
      <c r="H102" s="38">
        <f t="shared" si="18"/>
        <v>230.30838699585445</v>
      </c>
      <c r="I102" s="38">
        <f t="shared" si="13"/>
        <v>96722.865086214515</v>
      </c>
      <c r="J102" s="38">
        <f>SUM($H$18:$H102)</f>
        <v>21551.501293733789</v>
      </c>
      <c r="K102" s="34"/>
      <c r="L102" s="56">
        <f t="shared" si="14"/>
        <v>0.51958605939711722</v>
      </c>
    </row>
    <row r="103" spans="1:12" x14ac:dyDescent="0.2">
      <c r="A103" s="35">
        <f t="shared" si="15"/>
        <v>86</v>
      </c>
      <c r="B103" s="36">
        <f t="shared" si="10"/>
        <v>44593</v>
      </c>
      <c r="C103" s="37">
        <f t="shared" si="16"/>
        <v>96722.865086214515</v>
      </c>
      <c r="D103" s="38">
        <f t="shared" si="19"/>
        <v>479.39572008846164</v>
      </c>
      <c r="E103" s="59">
        <f t="shared" si="11"/>
        <v>0</v>
      </c>
      <c r="F103" s="38">
        <f t="shared" si="12"/>
        <v>479.39572008846164</v>
      </c>
      <c r="G103" s="38">
        <f t="shared" si="17"/>
        <v>249.67891550870218</v>
      </c>
      <c r="H103" s="38">
        <f t="shared" si="18"/>
        <v>229.71680457975947</v>
      </c>
      <c r="I103" s="38">
        <f t="shared" si="13"/>
        <v>96473.186170705812</v>
      </c>
      <c r="J103" s="38">
        <f>SUM($H$18:$H103)</f>
        <v>21781.218098313548</v>
      </c>
      <c r="K103" s="34"/>
      <c r="L103" s="56">
        <f t="shared" si="14"/>
        <v>0.52082007628818539</v>
      </c>
    </row>
    <row r="104" spans="1:12" x14ac:dyDescent="0.2">
      <c r="A104" s="35">
        <f t="shared" si="15"/>
        <v>87</v>
      </c>
      <c r="B104" s="36">
        <f t="shared" si="10"/>
        <v>44621</v>
      </c>
      <c r="C104" s="37">
        <f t="shared" si="16"/>
        <v>96473.186170705812</v>
      </c>
      <c r="D104" s="38">
        <f t="shared" si="19"/>
        <v>479.39572008846164</v>
      </c>
      <c r="E104" s="59">
        <f t="shared" si="11"/>
        <v>0</v>
      </c>
      <c r="F104" s="38">
        <f t="shared" si="12"/>
        <v>479.39572008846164</v>
      </c>
      <c r="G104" s="38">
        <f t="shared" si="17"/>
        <v>250.27190293303534</v>
      </c>
      <c r="H104" s="38">
        <f t="shared" si="18"/>
        <v>229.12381715542631</v>
      </c>
      <c r="I104" s="38">
        <f t="shared" si="13"/>
        <v>96222.91426777278</v>
      </c>
      <c r="J104" s="38">
        <f>SUM($H$18:$H104)</f>
        <v>22010.341915468973</v>
      </c>
      <c r="K104" s="34"/>
      <c r="L104" s="56">
        <f t="shared" si="14"/>
        <v>0.52205702396936982</v>
      </c>
    </row>
    <row r="105" spans="1:12" x14ac:dyDescent="0.2">
      <c r="A105" s="35">
        <f t="shared" si="15"/>
        <v>88</v>
      </c>
      <c r="B105" s="36">
        <f t="shared" si="10"/>
        <v>44652</v>
      </c>
      <c r="C105" s="37">
        <f t="shared" si="16"/>
        <v>96222.91426777278</v>
      </c>
      <c r="D105" s="38">
        <f t="shared" si="19"/>
        <v>479.39572008846164</v>
      </c>
      <c r="E105" s="59">
        <f t="shared" si="11"/>
        <v>0</v>
      </c>
      <c r="F105" s="38">
        <f t="shared" si="12"/>
        <v>479.39572008846164</v>
      </c>
      <c r="G105" s="38">
        <f t="shared" si="17"/>
        <v>250.86629870250127</v>
      </c>
      <c r="H105" s="38">
        <f t="shared" si="18"/>
        <v>228.52942138596038</v>
      </c>
      <c r="I105" s="38">
        <f t="shared" si="13"/>
        <v>95972.047969070278</v>
      </c>
      <c r="J105" s="38">
        <f>SUM($H$18:$H105)</f>
        <v>22238.871336854932</v>
      </c>
      <c r="K105" s="34"/>
      <c r="L105" s="56">
        <f t="shared" si="14"/>
        <v>0.52329690940129703</v>
      </c>
    </row>
    <row r="106" spans="1:12" x14ac:dyDescent="0.2">
      <c r="A106" s="35">
        <f t="shared" si="15"/>
        <v>89</v>
      </c>
      <c r="B106" s="36">
        <f t="shared" si="10"/>
        <v>44682</v>
      </c>
      <c r="C106" s="37">
        <f t="shared" si="16"/>
        <v>95972.047969070278</v>
      </c>
      <c r="D106" s="38">
        <f t="shared" si="19"/>
        <v>479.39572008846164</v>
      </c>
      <c r="E106" s="59">
        <f t="shared" si="11"/>
        <v>0</v>
      </c>
      <c r="F106" s="38">
        <f t="shared" si="12"/>
        <v>479.39572008846164</v>
      </c>
      <c r="G106" s="38">
        <f t="shared" si="17"/>
        <v>251.46210616191971</v>
      </c>
      <c r="H106" s="38">
        <f t="shared" si="18"/>
        <v>227.93361392654194</v>
      </c>
      <c r="I106" s="38">
        <f t="shared" si="13"/>
        <v>95720.585862908352</v>
      </c>
      <c r="J106" s="38">
        <f>SUM($H$18:$H106)</f>
        <v>22466.804950781476</v>
      </c>
      <c r="K106" s="34"/>
      <c r="L106" s="56">
        <f t="shared" si="14"/>
        <v>0.5245397395611251</v>
      </c>
    </row>
    <row r="107" spans="1:12" x14ac:dyDescent="0.2">
      <c r="A107" s="35">
        <f t="shared" si="15"/>
        <v>90</v>
      </c>
      <c r="B107" s="36">
        <f t="shared" si="10"/>
        <v>44713</v>
      </c>
      <c r="C107" s="37">
        <f t="shared" si="16"/>
        <v>95720.585862908352</v>
      </c>
      <c r="D107" s="38">
        <f t="shared" si="19"/>
        <v>479.39572008846164</v>
      </c>
      <c r="E107" s="59">
        <f t="shared" si="11"/>
        <v>0</v>
      </c>
      <c r="F107" s="38">
        <f t="shared" si="12"/>
        <v>479.39572008846164</v>
      </c>
      <c r="G107" s="38">
        <f t="shared" si="17"/>
        <v>252.05932866405431</v>
      </c>
      <c r="H107" s="38">
        <f t="shared" si="18"/>
        <v>227.33639142440734</v>
      </c>
      <c r="I107" s="38">
        <f t="shared" si="13"/>
        <v>95468.526534244302</v>
      </c>
      <c r="J107" s="38">
        <f>SUM($H$18:$H107)</f>
        <v>22694.141342205883</v>
      </c>
      <c r="L107" s="56">
        <f t="shared" si="14"/>
        <v>0.52578552144258284</v>
      </c>
    </row>
    <row r="108" spans="1:12" x14ac:dyDescent="0.2">
      <c r="A108" s="35">
        <f t="shared" si="15"/>
        <v>91</v>
      </c>
      <c r="B108" s="36">
        <f t="shared" si="10"/>
        <v>44743</v>
      </c>
      <c r="C108" s="37">
        <f t="shared" si="16"/>
        <v>95468.526534244302</v>
      </c>
      <c r="D108" s="38">
        <f t="shared" si="19"/>
        <v>479.39572008846164</v>
      </c>
      <c r="E108" s="59">
        <f t="shared" si="11"/>
        <v>0</v>
      </c>
      <c r="F108" s="38">
        <f t="shared" si="12"/>
        <v>479.39572008846164</v>
      </c>
      <c r="G108" s="38">
        <f t="shared" si="17"/>
        <v>252.6579695696314</v>
      </c>
      <c r="H108" s="38">
        <f t="shared" si="18"/>
        <v>226.73775051883024</v>
      </c>
      <c r="I108" s="38">
        <f t="shared" si="13"/>
        <v>95215.868564674674</v>
      </c>
      <c r="J108" s="38">
        <f>SUM($H$18:$H108)</f>
        <v>22920.879092724714</v>
      </c>
      <c r="L108" s="56">
        <f t="shared" si="14"/>
        <v>0.5270342620560089</v>
      </c>
    </row>
    <row r="109" spans="1:12" x14ac:dyDescent="0.2">
      <c r="A109" s="35">
        <f t="shared" si="15"/>
        <v>92</v>
      </c>
      <c r="B109" s="36">
        <f t="shared" si="10"/>
        <v>44774</v>
      </c>
      <c r="C109" s="37">
        <f t="shared" si="16"/>
        <v>95215.868564674674</v>
      </c>
      <c r="D109" s="38">
        <f t="shared" si="19"/>
        <v>479.39572008846164</v>
      </c>
      <c r="E109" s="59">
        <f t="shared" si="11"/>
        <v>0</v>
      </c>
      <c r="F109" s="38">
        <f t="shared" si="12"/>
        <v>479.39572008846164</v>
      </c>
      <c r="G109" s="38">
        <f t="shared" si="17"/>
        <v>253.2580322473593</v>
      </c>
      <c r="H109" s="38">
        <f t="shared" si="18"/>
        <v>226.13768784110235</v>
      </c>
      <c r="I109" s="38">
        <f t="shared" si="13"/>
        <v>94962.610532427308</v>
      </c>
      <c r="J109" s="38">
        <f>SUM($H$18:$H109)</f>
        <v>23147.016780565817</v>
      </c>
      <c r="L109" s="56">
        <f t="shared" si="14"/>
        <v>0.52828596842839204</v>
      </c>
    </row>
    <row r="110" spans="1:12" x14ac:dyDescent="0.2">
      <c r="A110" s="35">
        <f t="shared" si="15"/>
        <v>93</v>
      </c>
      <c r="B110" s="36">
        <f t="shared" si="10"/>
        <v>44805</v>
      </c>
      <c r="C110" s="37">
        <f t="shared" si="16"/>
        <v>94962.610532427308</v>
      </c>
      <c r="D110" s="38">
        <f t="shared" si="19"/>
        <v>479.39572008846164</v>
      </c>
      <c r="E110" s="59">
        <f t="shared" si="11"/>
        <v>0</v>
      </c>
      <c r="F110" s="38">
        <f t="shared" si="12"/>
        <v>479.39572008846164</v>
      </c>
      <c r="G110" s="38">
        <f t="shared" si="17"/>
        <v>253.85952007394678</v>
      </c>
      <c r="H110" s="38">
        <f t="shared" si="18"/>
        <v>225.53620001451486</v>
      </c>
      <c r="I110" s="38">
        <f t="shared" si="13"/>
        <v>94708.751012353358</v>
      </c>
      <c r="J110" s="38">
        <f>SUM($H$18:$H110)</f>
        <v>23372.552980580331</v>
      </c>
      <c r="L110" s="56">
        <f t="shared" si="14"/>
        <v>0.52954064760340946</v>
      </c>
    </row>
    <row r="111" spans="1:12" x14ac:dyDescent="0.2">
      <c r="A111" s="35">
        <f t="shared" si="15"/>
        <v>94</v>
      </c>
      <c r="B111" s="36">
        <f t="shared" si="10"/>
        <v>44835</v>
      </c>
      <c r="C111" s="37">
        <f t="shared" si="16"/>
        <v>94708.751012353358</v>
      </c>
      <c r="D111" s="38">
        <f t="shared" si="19"/>
        <v>479.39572008846164</v>
      </c>
      <c r="E111" s="59">
        <f t="shared" si="11"/>
        <v>0</v>
      </c>
      <c r="F111" s="38">
        <f t="shared" si="12"/>
        <v>479.39572008846164</v>
      </c>
      <c r="G111" s="38">
        <f t="shared" si="17"/>
        <v>254.46243643412242</v>
      </c>
      <c r="H111" s="38">
        <f t="shared" si="18"/>
        <v>224.93328365433922</v>
      </c>
      <c r="I111" s="38">
        <f t="shared" si="13"/>
        <v>94454.288575919229</v>
      </c>
      <c r="J111" s="38">
        <f>SUM($H$18:$H111)</f>
        <v>23597.486264234671</v>
      </c>
      <c r="L111" s="56">
        <f t="shared" si="14"/>
        <v>0.53079830664146754</v>
      </c>
    </row>
    <row r="112" spans="1:12" x14ac:dyDescent="0.2">
      <c r="A112" s="35">
        <f t="shared" si="15"/>
        <v>95</v>
      </c>
      <c r="B112" s="36">
        <f t="shared" si="10"/>
        <v>44866</v>
      </c>
      <c r="C112" s="37">
        <f t="shared" si="16"/>
        <v>94454.288575919229</v>
      </c>
      <c r="D112" s="38">
        <f t="shared" si="19"/>
        <v>479.39572008846164</v>
      </c>
      <c r="E112" s="59">
        <f t="shared" si="11"/>
        <v>0</v>
      </c>
      <c r="F112" s="38">
        <f t="shared" si="12"/>
        <v>479.39572008846164</v>
      </c>
      <c r="G112" s="38">
        <f t="shared" si="17"/>
        <v>255.06678472065346</v>
      </c>
      <c r="H112" s="38">
        <f t="shared" si="18"/>
        <v>224.32893536780819</v>
      </c>
      <c r="I112" s="38">
        <f t="shared" si="13"/>
        <v>94199.221791198579</v>
      </c>
      <c r="J112" s="38">
        <f>SUM($H$18:$H112)</f>
        <v>23821.815199602479</v>
      </c>
      <c r="L112" s="56">
        <f t="shared" si="14"/>
        <v>0.53205895261974101</v>
      </c>
    </row>
    <row r="113" spans="1:12" x14ac:dyDescent="0.2">
      <c r="A113" s="35">
        <f t="shared" si="15"/>
        <v>96</v>
      </c>
      <c r="B113" s="36">
        <f t="shared" si="10"/>
        <v>44896</v>
      </c>
      <c r="C113" s="37">
        <f t="shared" si="16"/>
        <v>94199.221791198579</v>
      </c>
      <c r="D113" s="38">
        <f t="shared" si="19"/>
        <v>479.39572008846164</v>
      </c>
      <c r="E113" s="59">
        <f t="shared" si="11"/>
        <v>0</v>
      </c>
      <c r="F113" s="38">
        <f t="shared" si="12"/>
        <v>479.39572008846164</v>
      </c>
      <c r="G113" s="38">
        <f t="shared" si="17"/>
        <v>255.672568334365</v>
      </c>
      <c r="H113" s="38">
        <f t="shared" si="18"/>
        <v>223.72315175409665</v>
      </c>
      <c r="I113" s="38">
        <f t="shared" si="13"/>
        <v>93943.549222864211</v>
      </c>
      <c r="J113" s="38">
        <f>SUM($H$18:$H113)</f>
        <v>24045.538351356576</v>
      </c>
      <c r="K113" s="1">
        <f>J113-J101</f>
        <v>2724.3454446186406</v>
      </c>
      <c r="L113" s="56">
        <f t="shared" si="14"/>
        <v>0.53332259263221293</v>
      </c>
    </row>
    <row r="114" spans="1:12" x14ac:dyDescent="0.2">
      <c r="A114" s="35">
        <f t="shared" si="15"/>
        <v>97</v>
      </c>
      <c r="B114" s="36">
        <f t="shared" si="10"/>
        <v>44927</v>
      </c>
      <c r="C114" s="37">
        <f t="shared" si="16"/>
        <v>93943.549222864211</v>
      </c>
      <c r="D114" s="38">
        <f t="shared" si="19"/>
        <v>479.39572008846164</v>
      </c>
      <c r="E114" s="59">
        <f t="shared" si="11"/>
        <v>0</v>
      </c>
      <c r="F114" s="38">
        <f t="shared" si="12"/>
        <v>479.39572008846164</v>
      </c>
      <c r="G114" s="38">
        <f t="shared" si="17"/>
        <v>256.27979068415914</v>
      </c>
      <c r="H114" s="38">
        <f t="shared" si="18"/>
        <v>223.11592940430251</v>
      </c>
      <c r="I114" s="38">
        <f t="shared" si="13"/>
        <v>93687.269432180052</v>
      </c>
      <c r="J114" s="38">
        <f>SUM($H$18:$H114)</f>
        <v>24268.654280760878</v>
      </c>
      <c r="K114" s="34"/>
      <c r="L114" s="56">
        <f t="shared" si="14"/>
        <v>0.53458923378971446</v>
      </c>
    </row>
    <row r="115" spans="1:12" x14ac:dyDescent="0.2">
      <c r="A115" s="35">
        <f t="shared" si="15"/>
        <v>98</v>
      </c>
      <c r="B115" s="36">
        <f t="shared" si="10"/>
        <v>44958</v>
      </c>
      <c r="C115" s="37">
        <f t="shared" si="16"/>
        <v>93687.269432180052</v>
      </c>
      <c r="D115" s="38">
        <f t="shared" si="19"/>
        <v>479.39572008846164</v>
      </c>
      <c r="E115" s="59">
        <f t="shared" si="11"/>
        <v>0</v>
      </c>
      <c r="F115" s="38">
        <f t="shared" si="12"/>
        <v>479.39572008846164</v>
      </c>
      <c r="G115" s="38">
        <f t="shared" si="17"/>
        <v>256.88845518703397</v>
      </c>
      <c r="H115" s="38">
        <f t="shared" si="18"/>
        <v>222.50726490142765</v>
      </c>
      <c r="I115" s="38">
        <f t="shared" si="13"/>
        <v>93430.380976993023</v>
      </c>
      <c r="J115" s="38">
        <f>SUM($H$18:$H115)</f>
        <v>24491.161545662308</v>
      </c>
      <c r="K115" s="34"/>
      <c r="L115" s="56">
        <f t="shared" si="14"/>
        <v>0.53585888321996489</v>
      </c>
    </row>
    <row r="116" spans="1:12" x14ac:dyDescent="0.2">
      <c r="A116" s="35">
        <f t="shared" si="15"/>
        <v>99</v>
      </c>
      <c r="B116" s="36">
        <f t="shared" si="10"/>
        <v>44986</v>
      </c>
      <c r="C116" s="37">
        <f t="shared" si="16"/>
        <v>93430.380976993023</v>
      </c>
      <c r="D116" s="38">
        <f t="shared" si="19"/>
        <v>479.39572008846164</v>
      </c>
      <c r="E116" s="59">
        <f t="shared" si="11"/>
        <v>0</v>
      </c>
      <c r="F116" s="38">
        <f t="shared" si="12"/>
        <v>479.39572008846164</v>
      </c>
      <c r="G116" s="38">
        <f t="shared" si="17"/>
        <v>257.49856526810322</v>
      </c>
      <c r="H116" s="38">
        <f t="shared" si="18"/>
        <v>221.89715482035842</v>
      </c>
      <c r="I116" s="38">
        <f t="shared" si="13"/>
        <v>93172.882411724917</v>
      </c>
      <c r="J116" s="38">
        <f>SUM($H$18:$H116)</f>
        <v>24713.058700482667</v>
      </c>
      <c r="K116" s="34"/>
      <c r="L116" s="56">
        <f t="shared" si="14"/>
        <v>0.53713154806761243</v>
      </c>
    </row>
    <row r="117" spans="1:12" x14ac:dyDescent="0.2">
      <c r="A117" s="35">
        <f t="shared" si="15"/>
        <v>100</v>
      </c>
      <c r="B117" s="36">
        <f t="shared" si="10"/>
        <v>45017</v>
      </c>
      <c r="C117" s="37">
        <f t="shared" si="16"/>
        <v>93172.882411724917</v>
      </c>
      <c r="D117" s="38">
        <f t="shared" si="19"/>
        <v>479.39572008846164</v>
      </c>
      <c r="E117" s="59">
        <f t="shared" si="11"/>
        <v>0</v>
      </c>
      <c r="F117" s="38">
        <f t="shared" si="12"/>
        <v>479.39572008846164</v>
      </c>
      <c r="G117" s="38">
        <f t="shared" si="17"/>
        <v>258.11012436061492</v>
      </c>
      <c r="H117" s="38">
        <f t="shared" si="18"/>
        <v>221.2855957278467</v>
      </c>
      <c r="I117" s="38">
        <f t="shared" si="13"/>
        <v>92914.772287364307</v>
      </c>
      <c r="J117" s="38">
        <f>SUM($H$18:$H117)</f>
        <v>24934.344296210515</v>
      </c>
      <c r="K117" s="34"/>
      <c r="L117" s="56">
        <f t="shared" si="14"/>
        <v>0.53840723549427294</v>
      </c>
    </row>
    <row r="118" spans="1:12" x14ac:dyDescent="0.2">
      <c r="A118" s="35">
        <f t="shared" si="15"/>
        <v>101</v>
      </c>
      <c r="B118" s="36">
        <f t="shared" si="10"/>
        <v>45047</v>
      </c>
      <c r="C118" s="37">
        <f t="shared" si="16"/>
        <v>92914.772287364307</v>
      </c>
      <c r="D118" s="38">
        <f t="shared" si="19"/>
        <v>479.39572008846164</v>
      </c>
      <c r="E118" s="59">
        <f t="shared" si="11"/>
        <v>0</v>
      </c>
      <c r="F118" s="38">
        <f t="shared" si="12"/>
        <v>479.39572008846164</v>
      </c>
      <c r="G118" s="38">
        <f t="shared" si="17"/>
        <v>258.72313590597139</v>
      </c>
      <c r="H118" s="38">
        <f t="shared" si="18"/>
        <v>220.67258418249025</v>
      </c>
      <c r="I118" s="38">
        <f t="shared" si="13"/>
        <v>92656.049151458341</v>
      </c>
      <c r="J118" s="38">
        <f>SUM($H$18:$H118)</f>
        <v>25155.016880393006</v>
      </c>
      <c r="K118" s="34"/>
      <c r="L118" s="56">
        <f t="shared" si="14"/>
        <v>0.53968595267857189</v>
      </c>
    </row>
    <row r="119" spans="1:12" x14ac:dyDescent="0.2">
      <c r="A119" s="35">
        <f t="shared" si="15"/>
        <v>102</v>
      </c>
      <c r="B119" s="36">
        <f t="shared" si="10"/>
        <v>45078</v>
      </c>
      <c r="C119" s="37">
        <f t="shared" si="16"/>
        <v>92656.049151458341</v>
      </c>
      <c r="D119" s="38">
        <f t="shared" si="19"/>
        <v>479.39572008846164</v>
      </c>
      <c r="E119" s="59">
        <f t="shared" si="11"/>
        <v>0</v>
      </c>
      <c r="F119" s="38">
        <f t="shared" si="12"/>
        <v>479.39572008846164</v>
      </c>
      <c r="G119" s="38">
        <f t="shared" si="17"/>
        <v>259.33760335374802</v>
      </c>
      <c r="H119" s="38">
        <f t="shared" si="18"/>
        <v>220.05811673471359</v>
      </c>
      <c r="I119" s="38">
        <f t="shared" si="13"/>
        <v>92396.711548104591</v>
      </c>
      <c r="J119" s="38">
        <f>SUM($H$18:$H119)</f>
        <v>25375.074997127718</v>
      </c>
      <c r="L119" s="56">
        <f t="shared" si="14"/>
        <v>0.54096770681618334</v>
      </c>
    </row>
    <row r="120" spans="1:12" x14ac:dyDescent="0.2">
      <c r="A120" s="35">
        <f t="shared" si="15"/>
        <v>103</v>
      </c>
      <c r="B120" s="36">
        <f t="shared" si="10"/>
        <v>45108</v>
      </c>
      <c r="C120" s="37">
        <f t="shared" si="16"/>
        <v>92396.711548104591</v>
      </c>
      <c r="D120" s="38">
        <f t="shared" si="19"/>
        <v>479.39572008846164</v>
      </c>
      <c r="E120" s="59">
        <f t="shared" si="11"/>
        <v>0</v>
      </c>
      <c r="F120" s="38">
        <f t="shared" si="12"/>
        <v>479.39572008846164</v>
      </c>
      <c r="G120" s="38">
        <f t="shared" si="17"/>
        <v>259.95353016171327</v>
      </c>
      <c r="H120" s="38">
        <f t="shared" si="18"/>
        <v>219.4421899267484</v>
      </c>
      <c r="I120" s="38">
        <f t="shared" si="13"/>
        <v>92136.758017942877</v>
      </c>
      <c r="J120" s="38">
        <f>SUM($H$18:$H120)</f>
        <v>25594.517187054465</v>
      </c>
      <c r="L120" s="56">
        <f t="shared" si="14"/>
        <v>0.542252505119872</v>
      </c>
    </row>
    <row r="121" spans="1:12" x14ac:dyDescent="0.2">
      <c r="A121" s="35">
        <f t="shared" si="15"/>
        <v>104</v>
      </c>
      <c r="B121" s="36">
        <f t="shared" si="10"/>
        <v>45139</v>
      </c>
      <c r="C121" s="37">
        <f t="shared" si="16"/>
        <v>92136.758017942877</v>
      </c>
      <c r="D121" s="38">
        <f t="shared" si="19"/>
        <v>479.39572008846164</v>
      </c>
      <c r="E121" s="59">
        <f t="shared" si="11"/>
        <v>0</v>
      </c>
      <c r="F121" s="38">
        <f t="shared" si="12"/>
        <v>479.39572008846164</v>
      </c>
      <c r="G121" s="38">
        <f t="shared" si="17"/>
        <v>260.57091979584732</v>
      </c>
      <c r="H121" s="38">
        <f t="shared" si="18"/>
        <v>218.82480029261433</v>
      </c>
      <c r="I121" s="38">
        <f t="shared" si="13"/>
        <v>91876.187098147027</v>
      </c>
      <c r="J121" s="38">
        <f>SUM($H$18:$H121)</f>
        <v>25813.341987347081</v>
      </c>
      <c r="L121" s="56">
        <f t="shared" si="14"/>
        <v>0.54354035481953167</v>
      </c>
    </row>
    <row r="122" spans="1:12" x14ac:dyDescent="0.2">
      <c r="A122" s="35">
        <f t="shared" si="15"/>
        <v>105</v>
      </c>
      <c r="B122" s="36">
        <f t="shared" si="10"/>
        <v>45170</v>
      </c>
      <c r="C122" s="37">
        <f t="shared" si="16"/>
        <v>91876.187098147027</v>
      </c>
      <c r="D122" s="38">
        <f t="shared" si="19"/>
        <v>479.39572008846164</v>
      </c>
      <c r="E122" s="59">
        <f t="shared" si="11"/>
        <v>0</v>
      </c>
      <c r="F122" s="38">
        <f t="shared" si="12"/>
        <v>479.39572008846164</v>
      </c>
      <c r="G122" s="38">
        <f t="shared" si="17"/>
        <v>261.1897757303625</v>
      </c>
      <c r="H122" s="38">
        <f t="shared" si="18"/>
        <v>218.20594435809917</v>
      </c>
      <c r="I122" s="38">
        <f t="shared" si="13"/>
        <v>91614.997322416661</v>
      </c>
      <c r="J122" s="38">
        <f>SUM($H$18:$H122)</f>
        <v>26031.54793170518</v>
      </c>
      <c r="L122" s="56">
        <f t="shared" si="14"/>
        <v>0.54483126316222807</v>
      </c>
    </row>
    <row r="123" spans="1:12" x14ac:dyDescent="0.2">
      <c r="A123" s="35">
        <f t="shared" si="15"/>
        <v>106</v>
      </c>
      <c r="B123" s="36">
        <f t="shared" si="10"/>
        <v>45200</v>
      </c>
      <c r="C123" s="37">
        <f t="shared" si="16"/>
        <v>91614.997322416661</v>
      </c>
      <c r="D123" s="38">
        <f t="shared" si="19"/>
        <v>479.39572008846164</v>
      </c>
      <c r="E123" s="59">
        <f t="shared" si="11"/>
        <v>0</v>
      </c>
      <c r="F123" s="38">
        <f t="shared" si="12"/>
        <v>479.39572008846164</v>
      </c>
      <c r="G123" s="38">
        <f t="shared" si="17"/>
        <v>261.8101014477221</v>
      </c>
      <c r="H123" s="38">
        <f t="shared" si="18"/>
        <v>217.58561864073957</v>
      </c>
      <c r="I123" s="38">
        <f t="shared" si="13"/>
        <v>91353.187220968932</v>
      </c>
      <c r="J123" s="38">
        <f>SUM($H$18:$H123)</f>
        <v>26249.13355034592</v>
      </c>
      <c r="L123" s="56">
        <f t="shared" si="14"/>
        <v>0.5461252374122384</v>
      </c>
    </row>
    <row r="124" spans="1:12" x14ac:dyDescent="0.2">
      <c r="A124" s="35">
        <f t="shared" si="15"/>
        <v>107</v>
      </c>
      <c r="B124" s="36">
        <f t="shared" si="10"/>
        <v>45231</v>
      </c>
      <c r="C124" s="37">
        <f t="shared" si="16"/>
        <v>91353.187220968932</v>
      </c>
      <c r="D124" s="38">
        <f t="shared" si="19"/>
        <v>479.39572008846164</v>
      </c>
      <c r="E124" s="59">
        <f t="shared" si="11"/>
        <v>0</v>
      </c>
      <c r="F124" s="38">
        <f t="shared" si="12"/>
        <v>479.39572008846164</v>
      </c>
      <c r="G124" s="38">
        <f t="shared" si="17"/>
        <v>262.43190043866048</v>
      </c>
      <c r="H124" s="38">
        <f t="shared" si="18"/>
        <v>216.9638196498012</v>
      </c>
      <c r="I124" s="38">
        <f t="shared" si="13"/>
        <v>91090.755320530268</v>
      </c>
      <c r="J124" s="38">
        <f>SUM($H$18:$H124)</f>
        <v>26466.097369995721</v>
      </c>
      <c r="L124" s="56">
        <f t="shared" si="14"/>
        <v>0.54742228485109257</v>
      </c>
    </row>
    <row r="125" spans="1:12" x14ac:dyDescent="0.2">
      <c r="A125" s="35">
        <f t="shared" si="15"/>
        <v>108</v>
      </c>
      <c r="B125" s="36">
        <f t="shared" si="10"/>
        <v>45261</v>
      </c>
      <c r="C125" s="37">
        <f t="shared" si="16"/>
        <v>91090.755320530268</v>
      </c>
      <c r="D125" s="38">
        <f t="shared" si="19"/>
        <v>479.39572008846164</v>
      </c>
      <c r="E125" s="59">
        <f t="shared" si="11"/>
        <v>0</v>
      </c>
      <c r="F125" s="38">
        <f t="shared" si="12"/>
        <v>479.39572008846164</v>
      </c>
      <c r="G125" s="38">
        <f t="shared" si="17"/>
        <v>263.05517620220223</v>
      </c>
      <c r="H125" s="38">
        <f t="shared" si="18"/>
        <v>216.34054388625941</v>
      </c>
      <c r="I125" s="38">
        <f t="shared" si="13"/>
        <v>90827.700144328061</v>
      </c>
      <c r="J125" s="38">
        <f>SUM($H$18:$H125)</f>
        <v>26682.437913881982</v>
      </c>
      <c r="K125" s="1">
        <f>J125-J113</f>
        <v>2636.8995625254065</v>
      </c>
      <c r="L125" s="56">
        <f t="shared" si="14"/>
        <v>0.5487224127776138</v>
      </c>
    </row>
    <row r="126" spans="1:12" x14ac:dyDescent="0.2">
      <c r="A126" s="35">
        <f t="shared" si="15"/>
        <v>109</v>
      </c>
      <c r="B126" s="36">
        <f t="shared" si="10"/>
        <v>45292</v>
      </c>
      <c r="C126" s="37">
        <f t="shared" si="16"/>
        <v>90827.700144328061</v>
      </c>
      <c r="D126" s="38">
        <f t="shared" si="19"/>
        <v>479.39572008846164</v>
      </c>
      <c r="E126" s="59">
        <f t="shared" si="11"/>
        <v>0</v>
      </c>
      <c r="F126" s="38">
        <f t="shared" si="12"/>
        <v>479.39572008846164</v>
      </c>
      <c r="G126" s="38">
        <f t="shared" si="17"/>
        <v>263.67993224568249</v>
      </c>
      <c r="H126" s="38">
        <f t="shared" si="18"/>
        <v>215.71578784277915</v>
      </c>
      <c r="I126" s="38">
        <f t="shared" si="13"/>
        <v>90564.020212082381</v>
      </c>
      <c r="J126" s="38">
        <f>SUM($H$18:$H126)</f>
        <v>26898.153701724761</v>
      </c>
      <c r="K126" s="34"/>
      <c r="L126" s="56">
        <f t="shared" si="14"/>
        <v>0.55002562850796066</v>
      </c>
    </row>
    <row r="127" spans="1:12" x14ac:dyDescent="0.2">
      <c r="A127" s="35">
        <f t="shared" si="15"/>
        <v>110</v>
      </c>
      <c r="B127" s="36">
        <f t="shared" si="10"/>
        <v>45323</v>
      </c>
      <c r="C127" s="37">
        <f t="shared" si="16"/>
        <v>90564.020212082381</v>
      </c>
      <c r="D127" s="38">
        <f t="shared" si="19"/>
        <v>479.39572008846164</v>
      </c>
      <c r="E127" s="59">
        <f t="shared" si="11"/>
        <v>0</v>
      </c>
      <c r="F127" s="38">
        <f t="shared" si="12"/>
        <v>479.39572008846164</v>
      </c>
      <c r="G127" s="38">
        <f t="shared" si="17"/>
        <v>264.30617208476599</v>
      </c>
      <c r="H127" s="38">
        <f t="shared" si="18"/>
        <v>215.08954800369565</v>
      </c>
      <c r="I127" s="38">
        <f t="shared" si="13"/>
        <v>90299.71403999762</v>
      </c>
      <c r="J127" s="38">
        <f>SUM($H$18:$H127)</f>
        <v>27113.243249728457</v>
      </c>
      <c r="K127" s="34"/>
      <c r="L127" s="56">
        <f t="shared" si="14"/>
        <v>0.55133193937566705</v>
      </c>
    </row>
    <row r="128" spans="1:12" x14ac:dyDescent="0.2">
      <c r="A128" s="35">
        <f t="shared" si="15"/>
        <v>111</v>
      </c>
      <c r="B128" s="36">
        <f t="shared" si="10"/>
        <v>45352</v>
      </c>
      <c r="C128" s="37">
        <f t="shared" si="16"/>
        <v>90299.71403999762</v>
      </c>
      <c r="D128" s="38">
        <f t="shared" si="19"/>
        <v>479.39572008846164</v>
      </c>
      <c r="E128" s="59">
        <f t="shared" si="11"/>
        <v>0</v>
      </c>
      <c r="F128" s="38">
        <f t="shared" si="12"/>
        <v>479.39572008846164</v>
      </c>
      <c r="G128" s="38">
        <f t="shared" si="17"/>
        <v>264.93389924346729</v>
      </c>
      <c r="H128" s="38">
        <f t="shared" si="18"/>
        <v>214.46182084499435</v>
      </c>
      <c r="I128" s="38">
        <f t="shared" si="13"/>
        <v>90034.780140754156</v>
      </c>
      <c r="J128" s="38">
        <f>SUM($H$18:$H128)</f>
        <v>27327.705070573451</v>
      </c>
      <c r="K128" s="34"/>
      <c r="L128" s="56">
        <f t="shared" si="14"/>
        <v>0.55264135273168424</v>
      </c>
    </row>
    <row r="129" spans="1:12" x14ac:dyDescent="0.2">
      <c r="A129" s="35">
        <f t="shared" si="15"/>
        <v>112</v>
      </c>
      <c r="B129" s="36">
        <f t="shared" si="10"/>
        <v>45383</v>
      </c>
      <c r="C129" s="37">
        <f t="shared" si="16"/>
        <v>90034.780140754156</v>
      </c>
      <c r="D129" s="38">
        <f t="shared" si="19"/>
        <v>479.39572008846164</v>
      </c>
      <c r="E129" s="59">
        <f t="shared" si="11"/>
        <v>0</v>
      </c>
      <c r="F129" s="38">
        <f t="shared" si="12"/>
        <v>479.39572008846164</v>
      </c>
      <c r="G129" s="38">
        <f t="shared" si="17"/>
        <v>265.56311725417049</v>
      </c>
      <c r="H129" s="38">
        <f t="shared" si="18"/>
        <v>213.83260283429112</v>
      </c>
      <c r="I129" s="38">
        <f t="shared" si="13"/>
        <v>89769.217023499979</v>
      </c>
      <c r="J129" s="38">
        <f>SUM($H$18:$H129)</f>
        <v>27541.537673407744</v>
      </c>
      <c r="K129" s="34"/>
      <c r="L129" s="56">
        <f t="shared" si="14"/>
        <v>0.55395387594442191</v>
      </c>
    </row>
    <row r="130" spans="1:12" x14ac:dyDescent="0.2">
      <c r="A130" s="35">
        <f t="shared" si="15"/>
        <v>113</v>
      </c>
      <c r="B130" s="36">
        <f t="shared" si="10"/>
        <v>45413</v>
      </c>
      <c r="C130" s="37">
        <f t="shared" si="16"/>
        <v>89769.217023499979</v>
      </c>
      <c r="D130" s="38">
        <f t="shared" si="19"/>
        <v>479.39572008846164</v>
      </c>
      <c r="E130" s="59">
        <f t="shared" si="11"/>
        <v>0</v>
      </c>
      <c r="F130" s="38">
        <f t="shared" si="12"/>
        <v>479.39572008846164</v>
      </c>
      <c r="G130" s="38">
        <f t="shared" si="17"/>
        <v>266.19382965764919</v>
      </c>
      <c r="H130" s="38">
        <f t="shared" si="18"/>
        <v>213.20189043081245</v>
      </c>
      <c r="I130" s="38">
        <f t="shared" si="13"/>
        <v>89503.023193842324</v>
      </c>
      <c r="J130" s="38">
        <f>SUM($H$18:$H130)</f>
        <v>27754.739563838557</v>
      </c>
      <c r="K130" s="34"/>
      <c r="L130" s="56">
        <f t="shared" si="14"/>
        <v>0.55526951639979005</v>
      </c>
    </row>
    <row r="131" spans="1:12" x14ac:dyDescent="0.2">
      <c r="A131" s="35">
        <f t="shared" si="15"/>
        <v>114</v>
      </c>
      <c r="B131" s="36">
        <f t="shared" si="10"/>
        <v>45444</v>
      </c>
      <c r="C131" s="37">
        <f t="shared" si="16"/>
        <v>89503.023193842324</v>
      </c>
      <c r="D131" s="38">
        <f t="shared" si="19"/>
        <v>479.39572008846164</v>
      </c>
      <c r="E131" s="59">
        <f t="shared" si="11"/>
        <v>0</v>
      </c>
      <c r="F131" s="38">
        <f t="shared" si="12"/>
        <v>479.39572008846164</v>
      </c>
      <c r="G131" s="38">
        <f t="shared" si="17"/>
        <v>266.82604000308606</v>
      </c>
      <c r="H131" s="38">
        <f t="shared" si="18"/>
        <v>212.56968008537555</v>
      </c>
      <c r="I131" s="38">
        <f t="shared" si="13"/>
        <v>89236.197153839239</v>
      </c>
      <c r="J131" s="38">
        <f>SUM($H$18:$H131)</f>
        <v>27967.309243923934</v>
      </c>
      <c r="L131" s="56">
        <f t="shared" si="14"/>
        <v>0.5565882815012394</v>
      </c>
    </row>
    <row r="132" spans="1:12" x14ac:dyDescent="0.2">
      <c r="A132" s="35">
        <f t="shared" si="15"/>
        <v>115</v>
      </c>
      <c r="B132" s="36">
        <f t="shared" si="10"/>
        <v>45474</v>
      </c>
      <c r="C132" s="37">
        <f t="shared" si="16"/>
        <v>89236.197153839239</v>
      </c>
      <c r="D132" s="38">
        <f t="shared" si="19"/>
        <v>479.39572008846164</v>
      </c>
      <c r="E132" s="59">
        <f t="shared" si="11"/>
        <v>0</v>
      </c>
      <c r="F132" s="38">
        <f t="shared" si="12"/>
        <v>479.39572008846164</v>
      </c>
      <c r="G132" s="38">
        <f t="shared" si="17"/>
        <v>267.45975184809345</v>
      </c>
      <c r="H132" s="38">
        <f t="shared" si="18"/>
        <v>211.9359682403682</v>
      </c>
      <c r="I132" s="38">
        <f t="shared" si="13"/>
        <v>88968.737401991151</v>
      </c>
      <c r="J132" s="38">
        <f>SUM($H$18:$H132)</f>
        <v>28179.2452121643</v>
      </c>
      <c r="L132" s="56">
        <f t="shared" si="14"/>
        <v>0.55791017866980497</v>
      </c>
    </row>
    <row r="133" spans="1:12" x14ac:dyDescent="0.2">
      <c r="A133" s="35">
        <f t="shared" si="15"/>
        <v>116</v>
      </c>
      <c r="B133" s="36">
        <f t="shared" si="10"/>
        <v>45505</v>
      </c>
      <c r="C133" s="37">
        <f t="shared" si="16"/>
        <v>88968.737401991151</v>
      </c>
      <c r="D133" s="38">
        <f t="shared" si="19"/>
        <v>479.39572008846164</v>
      </c>
      <c r="E133" s="59">
        <f t="shared" si="11"/>
        <v>0</v>
      </c>
      <c r="F133" s="38">
        <f t="shared" si="12"/>
        <v>479.39572008846164</v>
      </c>
      <c r="G133" s="38">
        <f t="shared" si="17"/>
        <v>268.09496875873265</v>
      </c>
      <c r="H133" s="38">
        <f t="shared" si="18"/>
        <v>211.300751329729</v>
      </c>
      <c r="I133" s="38">
        <f t="shared" si="13"/>
        <v>88700.642433232424</v>
      </c>
      <c r="J133" s="38">
        <f>SUM($H$18:$H133)</f>
        <v>28390.545963494031</v>
      </c>
      <c r="L133" s="56">
        <f t="shared" si="14"/>
        <v>0.55923521534414566</v>
      </c>
    </row>
    <row r="134" spans="1:12" x14ac:dyDescent="0.2">
      <c r="A134" s="35">
        <f t="shared" si="15"/>
        <v>117</v>
      </c>
      <c r="B134" s="36">
        <f t="shared" si="10"/>
        <v>45536</v>
      </c>
      <c r="C134" s="37">
        <f t="shared" si="16"/>
        <v>88700.642433232424</v>
      </c>
      <c r="D134" s="38">
        <f t="shared" si="19"/>
        <v>479.39572008846164</v>
      </c>
      <c r="E134" s="59">
        <f t="shared" si="11"/>
        <v>0</v>
      </c>
      <c r="F134" s="38">
        <f t="shared" si="12"/>
        <v>479.39572008846164</v>
      </c>
      <c r="G134" s="38">
        <f t="shared" si="17"/>
        <v>268.73169430953465</v>
      </c>
      <c r="H134" s="38">
        <f t="shared" si="18"/>
        <v>210.664025778927</v>
      </c>
      <c r="I134" s="38">
        <f t="shared" si="13"/>
        <v>88431.910738922888</v>
      </c>
      <c r="J134" s="38">
        <f>SUM($H$18:$H134)</f>
        <v>28601.209989272957</v>
      </c>
      <c r="L134" s="56">
        <f t="shared" si="14"/>
        <v>0.56056339898058805</v>
      </c>
    </row>
    <row r="135" spans="1:12" x14ac:dyDescent="0.2">
      <c r="A135" s="35">
        <f t="shared" si="15"/>
        <v>118</v>
      </c>
      <c r="B135" s="36">
        <f t="shared" si="10"/>
        <v>45566</v>
      </c>
      <c r="C135" s="37">
        <f t="shared" si="16"/>
        <v>88431.910738922888</v>
      </c>
      <c r="D135" s="38">
        <f t="shared" si="19"/>
        <v>479.39572008846164</v>
      </c>
      <c r="E135" s="59">
        <f t="shared" si="11"/>
        <v>0</v>
      </c>
      <c r="F135" s="38">
        <f t="shared" si="12"/>
        <v>479.39572008846164</v>
      </c>
      <c r="G135" s="38">
        <f t="shared" si="17"/>
        <v>269.36993208351976</v>
      </c>
      <c r="H135" s="38">
        <f t="shared" si="18"/>
        <v>210.02578800494186</v>
      </c>
      <c r="I135" s="38">
        <f t="shared" si="13"/>
        <v>88162.540806839374</v>
      </c>
      <c r="J135" s="38">
        <f>SUM($H$18:$H135)</f>
        <v>28811.2357772779</v>
      </c>
      <c r="L135" s="56">
        <f t="shared" si="14"/>
        <v>0.56189473705316695</v>
      </c>
    </row>
    <row r="136" spans="1:12" x14ac:dyDescent="0.2">
      <c r="A136" s="35">
        <f t="shared" si="15"/>
        <v>119</v>
      </c>
      <c r="B136" s="36">
        <f t="shared" si="10"/>
        <v>45597</v>
      </c>
      <c r="C136" s="37">
        <f t="shared" si="16"/>
        <v>88162.540806839374</v>
      </c>
      <c r="D136" s="38">
        <f t="shared" si="19"/>
        <v>479.39572008846164</v>
      </c>
      <c r="E136" s="59">
        <f t="shared" si="11"/>
        <v>0</v>
      </c>
      <c r="F136" s="38">
        <f t="shared" si="12"/>
        <v>479.39572008846164</v>
      </c>
      <c r="G136" s="38">
        <f t="shared" si="17"/>
        <v>270.0096856722181</v>
      </c>
      <c r="H136" s="38">
        <f t="shared" si="18"/>
        <v>209.38603441624352</v>
      </c>
      <c r="I136" s="38">
        <f t="shared" si="13"/>
        <v>87892.531121167151</v>
      </c>
      <c r="J136" s="38">
        <f>SUM($H$18:$H136)</f>
        <v>29020.621811694142</v>
      </c>
      <c r="L136" s="56">
        <f t="shared" si="14"/>
        <v>0.56322923705366812</v>
      </c>
    </row>
    <row r="137" spans="1:12" x14ac:dyDescent="0.2">
      <c r="A137" s="35">
        <f t="shared" si="15"/>
        <v>120</v>
      </c>
      <c r="B137" s="36">
        <f t="shared" si="10"/>
        <v>45627</v>
      </c>
      <c r="C137" s="37">
        <f t="shared" si="16"/>
        <v>87892.531121167151</v>
      </c>
      <c r="D137" s="38">
        <f t="shared" si="19"/>
        <v>479.39572008846164</v>
      </c>
      <c r="E137" s="59">
        <f t="shared" si="11"/>
        <v>0</v>
      </c>
      <c r="F137" s="38">
        <f t="shared" si="12"/>
        <v>479.39572008846164</v>
      </c>
      <c r="G137" s="38">
        <f t="shared" si="17"/>
        <v>270.65095867568971</v>
      </c>
      <c r="H137" s="38">
        <f t="shared" si="18"/>
        <v>208.74476141277196</v>
      </c>
      <c r="I137" s="38">
        <f t="shared" si="13"/>
        <v>87621.880162491463</v>
      </c>
      <c r="J137" s="38">
        <f>SUM($H$18:$H137)</f>
        <v>29229.366573106912</v>
      </c>
      <c r="K137" s="1">
        <f>J137-J125</f>
        <v>2546.92865922493</v>
      </c>
      <c r="L137" s="56">
        <f t="shared" si="14"/>
        <v>0.56456690649167074</v>
      </c>
    </row>
    <row r="138" spans="1:12" x14ac:dyDescent="0.2">
      <c r="A138" s="35">
        <f t="shared" si="15"/>
        <v>121</v>
      </c>
      <c r="B138" s="36">
        <f t="shared" si="10"/>
        <v>45658</v>
      </c>
      <c r="C138" s="37">
        <f t="shared" si="16"/>
        <v>87621.880162491463</v>
      </c>
      <c r="D138" s="38">
        <f t="shared" si="19"/>
        <v>479.39572008846164</v>
      </c>
      <c r="E138" s="59">
        <f t="shared" si="11"/>
        <v>0</v>
      </c>
      <c r="F138" s="38">
        <f t="shared" si="12"/>
        <v>479.39572008846164</v>
      </c>
      <c r="G138" s="38">
        <f t="shared" si="17"/>
        <v>271.29375470254445</v>
      </c>
      <c r="H138" s="38">
        <f t="shared" si="18"/>
        <v>208.10196538591723</v>
      </c>
      <c r="I138" s="38">
        <f t="shared" si="13"/>
        <v>87350.586407788913</v>
      </c>
      <c r="J138" s="38">
        <f>SUM($H$18:$H138)</f>
        <v>29437.468538492831</v>
      </c>
      <c r="K138" s="34"/>
      <c r="L138" s="56">
        <f t="shared" si="14"/>
        <v>0.5659077528945885</v>
      </c>
    </row>
    <row r="139" spans="1:12" x14ac:dyDescent="0.2">
      <c r="A139" s="35">
        <f t="shared" si="15"/>
        <v>122</v>
      </c>
      <c r="B139" s="36">
        <f t="shared" si="10"/>
        <v>45689</v>
      </c>
      <c r="C139" s="37">
        <f t="shared" si="16"/>
        <v>87350.586407788913</v>
      </c>
      <c r="D139" s="38">
        <f t="shared" si="19"/>
        <v>479.39572008846164</v>
      </c>
      <c r="E139" s="59">
        <f t="shared" si="11"/>
        <v>0</v>
      </c>
      <c r="F139" s="38">
        <f t="shared" si="12"/>
        <v>479.39572008846164</v>
      </c>
      <c r="G139" s="38">
        <f t="shared" si="17"/>
        <v>271.93807736996303</v>
      </c>
      <c r="H139" s="38">
        <f t="shared" si="18"/>
        <v>207.45764271849865</v>
      </c>
      <c r="I139" s="38">
        <f t="shared" si="13"/>
        <v>87078.648330418946</v>
      </c>
      <c r="J139" s="38">
        <f>SUM($H$18:$H139)</f>
        <v>29644.926181211329</v>
      </c>
      <c r="K139" s="34"/>
      <c r="L139" s="56">
        <f t="shared" si="14"/>
        <v>0.56725178380771313</v>
      </c>
    </row>
    <row r="140" spans="1:12" x14ac:dyDescent="0.2">
      <c r="A140" s="35">
        <f t="shared" si="15"/>
        <v>123</v>
      </c>
      <c r="B140" s="36">
        <f t="shared" si="10"/>
        <v>45717</v>
      </c>
      <c r="C140" s="37">
        <f t="shared" si="16"/>
        <v>87078.648330418946</v>
      </c>
      <c r="D140" s="38">
        <f t="shared" si="19"/>
        <v>479.39572008846164</v>
      </c>
      <c r="E140" s="59">
        <f t="shared" si="11"/>
        <v>0</v>
      </c>
      <c r="F140" s="38">
        <f t="shared" si="12"/>
        <v>479.39572008846164</v>
      </c>
      <c r="G140" s="38">
        <f t="shared" si="17"/>
        <v>272.58393030371667</v>
      </c>
      <c r="H140" s="38">
        <f t="shared" si="18"/>
        <v>206.811789784745</v>
      </c>
      <c r="I140" s="38">
        <f t="shared" si="13"/>
        <v>86806.064400115225</v>
      </c>
      <c r="J140" s="38">
        <f>SUM($H$18:$H140)</f>
        <v>29851.737970996073</v>
      </c>
      <c r="K140" s="34"/>
      <c r="L140" s="56">
        <f t="shared" si="14"/>
        <v>0.56859900679425646</v>
      </c>
    </row>
    <row r="141" spans="1:12" x14ac:dyDescent="0.2">
      <c r="A141" s="35">
        <f t="shared" si="15"/>
        <v>124</v>
      </c>
      <c r="B141" s="36">
        <f t="shared" si="10"/>
        <v>45748</v>
      </c>
      <c r="C141" s="37">
        <f t="shared" si="16"/>
        <v>86806.064400115225</v>
      </c>
      <c r="D141" s="38">
        <f t="shared" si="19"/>
        <v>479.39572008846164</v>
      </c>
      <c r="E141" s="59">
        <f t="shared" si="11"/>
        <v>0</v>
      </c>
      <c r="F141" s="38">
        <f t="shared" si="12"/>
        <v>479.39572008846164</v>
      </c>
      <c r="G141" s="38">
        <f t="shared" si="17"/>
        <v>273.23131713818793</v>
      </c>
      <c r="H141" s="38">
        <f t="shared" si="18"/>
        <v>206.16440295027368</v>
      </c>
      <c r="I141" s="38">
        <f t="shared" si="13"/>
        <v>86532.833082977042</v>
      </c>
      <c r="J141" s="38">
        <f>SUM($H$18:$H141)</f>
        <v>30057.902373946348</v>
      </c>
      <c r="K141" s="34"/>
      <c r="L141" s="56">
        <f t="shared" si="14"/>
        <v>0.56994942943539273</v>
      </c>
    </row>
    <row r="142" spans="1:12" x14ac:dyDescent="0.2">
      <c r="A142" s="35">
        <f t="shared" si="15"/>
        <v>125</v>
      </c>
      <c r="B142" s="36">
        <f t="shared" si="10"/>
        <v>45778</v>
      </c>
      <c r="C142" s="37">
        <f t="shared" si="16"/>
        <v>86532.833082977042</v>
      </c>
      <c r="D142" s="38">
        <f t="shared" si="19"/>
        <v>479.39572008846164</v>
      </c>
      <c r="E142" s="59">
        <f t="shared" si="11"/>
        <v>0</v>
      </c>
      <c r="F142" s="38">
        <f t="shared" si="12"/>
        <v>479.39572008846164</v>
      </c>
      <c r="G142" s="38">
        <f t="shared" si="17"/>
        <v>273.88024151639115</v>
      </c>
      <c r="H142" s="38">
        <f t="shared" si="18"/>
        <v>205.51547857207049</v>
      </c>
      <c r="I142" s="38">
        <f t="shared" si="13"/>
        <v>86258.952841460647</v>
      </c>
      <c r="J142" s="38">
        <f>SUM($H$18:$H142)</f>
        <v>30263.417852518418</v>
      </c>
      <c r="K142" s="34"/>
      <c r="L142" s="56">
        <f t="shared" si="14"/>
        <v>0.57130305933030179</v>
      </c>
    </row>
    <row r="143" spans="1:12" x14ac:dyDescent="0.2">
      <c r="A143" s="35">
        <f t="shared" si="15"/>
        <v>126</v>
      </c>
      <c r="B143" s="36">
        <f t="shared" si="10"/>
        <v>45809</v>
      </c>
      <c r="C143" s="37">
        <f t="shared" si="16"/>
        <v>86258.952841460647</v>
      </c>
      <c r="D143" s="38">
        <f t="shared" si="19"/>
        <v>479.39572008846164</v>
      </c>
      <c r="E143" s="59">
        <f t="shared" si="11"/>
        <v>0</v>
      </c>
      <c r="F143" s="38">
        <f t="shared" si="12"/>
        <v>479.39572008846164</v>
      </c>
      <c r="G143" s="38">
        <f t="shared" si="17"/>
        <v>274.53070708999257</v>
      </c>
      <c r="H143" s="38">
        <f t="shared" si="18"/>
        <v>204.86501299846904</v>
      </c>
      <c r="I143" s="38">
        <f t="shared" si="13"/>
        <v>85984.422134370659</v>
      </c>
      <c r="J143" s="38">
        <f>SUM($H$18:$H143)</f>
        <v>30468.282865516889</v>
      </c>
      <c r="L143" s="56">
        <f t="shared" si="14"/>
        <v>0.57265990409621126</v>
      </c>
    </row>
    <row r="144" spans="1:12" x14ac:dyDescent="0.2">
      <c r="A144" s="35">
        <f t="shared" si="15"/>
        <v>127</v>
      </c>
      <c r="B144" s="36">
        <f t="shared" si="10"/>
        <v>45839</v>
      </c>
      <c r="C144" s="37">
        <f t="shared" si="16"/>
        <v>85984.422134370659</v>
      </c>
      <c r="D144" s="38">
        <f t="shared" si="19"/>
        <v>479.39572008846164</v>
      </c>
      <c r="E144" s="59">
        <f t="shared" si="11"/>
        <v>0</v>
      </c>
      <c r="F144" s="38">
        <f t="shared" si="12"/>
        <v>479.39572008846164</v>
      </c>
      <c r="G144" s="38">
        <f t="shared" si="17"/>
        <v>275.18271751933128</v>
      </c>
      <c r="H144" s="38">
        <f t="shared" si="18"/>
        <v>204.21300256913034</v>
      </c>
      <c r="I144" s="38">
        <f t="shared" si="13"/>
        <v>85709.239416851327</v>
      </c>
      <c r="J144" s="38">
        <f>SUM($H$18:$H144)</f>
        <v>30672.495868086018</v>
      </c>
      <c r="L144" s="56">
        <f t="shared" si="14"/>
        <v>0.57401997136843963</v>
      </c>
    </row>
    <row r="145" spans="1:12" x14ac:dyDescent="0.2">
      <c r="A145" s="35">
        <f t="shared" si="15"/>
        <v>128</v>
      </c>
      <c r="B145" s="36">
        <f t="shared" si="10"/>
        <v>45870</v>
      </c>
      <c r="C145" s="37">
        <f t="shared" si="16"/>
        <v>85709.239416851327</v>
      </c>
      <c r="D145" s="38">
        <f t="shared" si="19"/>
        <v>479.39572008846164</v>
      </c>
      <c r="E145" s="59">
        <f t="shared" si="11"/>
        <v>0</v>
      </c>
      <c r="F145" s="38">
        <f t="shared" si="12"/>
        <v>479.39572008846164</v>
      </c>
      <c r="G145" s="38">
        <f t="shared" si="17"/>
        <v>275.83627647343974</v>
      </c>
      <c r="H145" s="38">
        <f t="shared" si="18"/>
        <v>203.55944361502191</v>
      </c>
      <c r="I145" s="38">
        <f t="shared" si="13"/>
        <v>85433.403140377894</v>
      </c>
      <c r="J145" s="38">
        <f>SUM($H$18:$H145)</f>
        <v>30876.055311701039</v>
      </c>
      <c r="L145" s="56">
        <f t="shared" si="14"/>
        <v>0.57538326880043988</v>
      </c>
    </row>
    <row r="146" spans="1:12" x14ac:dyDescent="0.2">
      <c r="A146" s="35">
        <f t="shared" si="15"/>
        <v>129</v>
      </c>
      <c r="B146" s="36">
        <f t="shared" ref="B146:B209" si="20">IF(Pay_Num&lt;&gt;"",DATE(YEAR(Loan_Start),MONTH(Loan_Start)+(Pay_Num)*12/Num_Pmt_Per_Year,DAY(Loan_Start)),"")</f>
        <v>45901</v>
      </c>
      <c r="C146" s="37">
        <f t="shared" si="16"/>
        <v>85433.403140377894</v>
      </c>
      <c r="D146" s="38">
        <f t="shared" si="19"/>
        <v>479.39572008846164</v>
      </c>
      <c r="E146" s="59">
        <f t="shared" ref="E146:E209" si="21">IF(AND(Pay_Num&lt;&gt;"",Sched_Pay+Scheduled_Extra_Payments&lt;Beg_Bal),Scheduled_Extra_Payments,IF(AND(Pay_Num&lt;&gt;"",Beg_Bal-Sched_Pay&gt;0),Beg_Bal-Sched_Pay,IF(Pay_Num&lt;&gt;"",0,"")))</f>
        <v>0</v>
      </c>
      <c r="F146" s="38">
        <f t="shared" ref="F146:F209" si="22">IF(AND(Pay_Num&lt;&gt;"",Sched_Pay+Extra_Pay&lt;Beg_Bal),Sched_Pay+Extra_Pay,IF(Pay_Num&lt;&gt;"",Beg_Bal,""))</f>
        <v>479.39572008846164</v>
      </c>
      <c r="G146" s="38">
        <f t="shared" si="17"/>
        <v>276.4913876300642</v>
      </c>
      <c r="H146" s="38">
        <f t="shared" si="18"/>
        <v>202.90433245839748</v>
      </c>
      <c r="I146" s="38">
        <f t="shared" ref="I146:I209" si="23">IF(AND(Pay_Num&lt;&gt;"",Sched_Pay+Extra_Pay&lt;Beg_Bal),Beg_Bal-Princ,IF(Pay_Num&lt;&gt;"",0,""))</f>
        <v>85156.911752747823</v>
      </c>
      <c r="J146" s="38">
        <f>SUM($H$18:$H146)</f>
        <v>31078.959644159437</v>
      </c>
      <c r="L146" s="56">
        <f t="shared" ref="L146:L209" si="24">G146/F146</f>
        <v>0.57674980406384091</v>
      </c>
    </row>
    <row r="147" spans="1:12" x14ac:dyDescent="0.2">
      <c r="A147" s="35">
        <f t="shared" ref="A147:A210" si="25">IF(Values_Entered,A146+1,"")</f>
        <v>130</v>
      </c>
      <c r="B147" s="36">
        <f t="shared" si="20"/>
        <v>45931</v>
      </c>
      <c r="C147" s="37">
        <f t="shared" ref="C147:C210" si="26">IF(Pay_Num&lt;&gt;"",I146,"")</f>
        <v>85156.911752747823</v>
      </c>
      <c r="D147" s="38">
        <f t="shared" si="19"/>
        <v>479.39572008846164</v>
      </c>
      <c r="E147" s="59">
        <f t="shared" si="21"/>
        <v>0</v>
      </c>
      <c r="F147" s="38">
        <f t="shared" si="22"/>
        <v>479.39572008846164</v>
      </c>
      <c r="G147" s="38">
        <f t="shared" ref="G147:G210" si="27">IF(Pay_Num&lt;&gt;"",Total_Pay-Int,"")</f>
        <v>277.14805467568556</v>
      </c>
      <c r="H147" s="38">
        <f t="shared" ref="H147:H210" si="28">IF(Pay_Num&lt;&gt;"",Beg_Bal*Interest_Rate/Num_Pmt_Per_Year,"")</f>
        <v>202.24766541277609</v>
      </c>
      <c r="I147" s="38">
        <f t="shared" si="23"/>
        <v>84879.763698072144</v>
      </c>
      <c r="J147" s="38">
        <f>SUM($H$18:$H147)</f>
        <v>31281.207309572212</v>
      </c>
      <c r="L147" s="56">
        <f t="shared" si="24"/>
        <v>0.57811958484849246</v>
      </c>
    </row>
    <row r="148" spans="1:12" x14ac:dyDescent="0.2">
      <c r="A148" s="35">
        <f t="shared" si="25"/>
        <v>131</v>
      </c>
      <c r="B148" s="36">
        <f t="shared" si="20"/>
        <v>45962</v>
      </c>
      <c r="C148" s="37">
        <f t="shared" si="26"/>
        <v>84879.763698072144</v>
      </c>
      <c r="D148" s="38">
        <f t="shared" ref="D148:D211" si="29">IF(Pay_Num&lt;&gt;"",Scheduled_Monthly_Payment,"")</f>
        <v>479.39572008846164</v>
      </c>
      <c r="E148" s="59">
        <f t="shared" si="21"/>
        <v>0</v>
      </c>
      <c r="F148" s="38">
        <f t="shared" si="22"/>
        <v>479.39572008846164</v>
      </c>
      <c r="G148" s="38">
        <f t="shared" si="27"/>
        <v>277.80628130554032</v>
      </c>
      <c r="H148" s="38">
        <f t="shared" si="28"/>
        <v>201.58943878292135</v>
      </c>
      <c r="I148" s="38">
        <f t="shared" si="23"/>
        <v>84601.9574167666</v>
      </c>
      <c r="J148" s="38">
        <f>SUM($H$18:$H148)</f>
        <v>31482.796748355133</v>
      </c>
      <c r="L148" s="56">
        <f t="shared" si="24"/>
        <v>0.57949261886250769</v>
      </c>
    </row>
    <row r="149" spans="1:12" x14ac:dyDescent="0.2">
      <c r="A149" s="35">
        <f t="shared" si="25"/>
        <v>132</v>
      </c>
      <c r="B149" s="36">
        <f t="shared" si="20"/>
        <v>45992</v>
      </c>
      <c r="C149" s="37">
        <f t="shared" si="26"/>
        <v>84601.9574167666</v>
      </c>
      <c r="D149" s="38">
        <f t="shared" si="29"/>
        <v>479.39572008846164</v>
      </c>
      <c r="E149" s="59">
        <f t="shared" si="21"/>
        <v>0</v>
      </c>
      <c r="F149" s="38">
        <f t="shared" si="22"/>
        <v>479.39572008846164</v>
      </c>
      <c r="G149" s="38">
        <f t="shared" si="27"/>
        <v>278.46607122364094</v>
      </c>
      <c r="H149" s="38">
        <f t="shared" si="28"/>
        <v>200.92964886482068</v>
      </c>
      <c r="I149" s="38">
        <f t="shared" si="23"/>
        <v>84323.491345542963</v>
      </c>
      <c r="J149" s="38">
        <f>SUM($H$18:$H149)</f>
        <v>31683.726397219954</v>
      </c>
      <c r="K149" s="1">
        <f>J149-J137</f>
        <v>2454.3598241130421</v>
      </c>
      <c r="L149" s="56">
        <f t="shared" si="24"/>
        <v>0.5808689138323061</v>
      </c>
    </row>
    <row r="150" spans="1:12" x14ac:dyDescent="0.2">
      <c r="A150" s="35">
        <f t="shared" si="25"/>
        <v>133</v>
      </c>
      <c r="B150" s="36">
        <f t="shared" si="20"/>
        <v>46023</v>
      </c>
      <c r="C150" s="37">
        <f t="shared" si="26"/>
        <v>84323.491345542963</v>
      </c>
      <c r="D150" s="38">
        <f t="shared" si="29"/>
        <v>479.39572008846164</v>
      </c>
      <c r="E150" s="59">
        <f t="shared" si="21"/>
        <v>0</v>
      </c>
      <c r="F150" s="38">
        <f t="shared" si="22"/>
        <v>479.39572008846164</v>
      </c>
      <c r="G150" s="38">
        <f t="shared" si="27"/>
        <v>279.12742814279704</v>
      </c>
      <c r="H150" s="38">
        <f t="shared" si="28"/>
        <v>200.26829194566457</v>
      </c>
      <c r="I150" s="38">
        <f t="shared" si="23"/>
        <v>84044.363917400173</v>
      </c>
      <c r="J150" s="38">
        <f>SUM($H$18:$H150)</f>
        <v>31883.994689165618</v>
      </c>
      <c r="K150" s="34"/>
      <c r="L150" s="56">
        <f t="shared" si="24"/>
        <v>0.58224847750265774</v>
      </c>
    </row>
    <row r="151" spans="1:12" x14ac:dyDescent="0.2">
      <c r="A151" s="35">
        <f t="shared" si="25"/>
        <v>134</v>
      </c>
      <c r="B151" s="36">
        <f t="shared" si="20"/>
        <v>46054</v>
      </c>
      <c r="C151" s="37">
        <f t="shared" si="26"/>
        <v>84044.363917400173</v>
      </c>
      <c r="D151" s="38">
        <f t="shared" si="29"/>
        <v>479.39572008846164</v>
      </c>
      <c r="E151" s="59">
        <f t="shared" si="21"/>
        <v>0</v>
      </c>
      <c r="F151" s="38">
        <f t="shared" si="22"/>
        <v>479.39572008846164</v>
      </c>
      <c r="G151" s="38">
        <f t="shared" si="27"/>
        <v>279.79035578463618</v>
      </c>
      <c r="H151" s="38">
        <f t="shared" si="28"/>
        <v>199.60536430382544</v>
      </c>
      <c r="I151" s="38">
        <f t="shared" si="23"/>
        <v>83764.573561615543</v>
      </c>
      <c r="J151" s="38">
        <f>SUM($H$18:$H151)</f>
        <v>32083.600053469443</v>
      </c>
      <c r="K151" s="34"/>
      <c r="L151" s="56">
        <f t="shared" si="24"/>
        <v>0.58363131763672649</v>
      </c>
    </row>
    <row r="152" spans="1:12" x14ac:dyDescent="0.2">
      <c r="A152" s="35">
        <f t="shared" si="25"/>
        <v>135</v>
      </c>
      <c r="B152" s="36">
        <f t="shared" si="20"/>
        <v>46082</v>
      </c>
      <c r="C152" s="37">
        <f t="shared" si="26"/>
        <v>83764.573561615543</v>
      </c>
      <c r="D152" s="38">
        <f t="shared" si="29"/>
        <v>479.39572008846164</v>
      </c>
      <c r="E152" s="59">
        <f t="shared" si="21"/>
        <v>0</v>
      </c>
      <c r="F152" s="38">
        <f t="shared" si="22"/>
        <v>479.39572008846164</v>
      </c>
      <c r="G152" s="38">
        <f t="shared" si="27"/>
        <v>280.45485787962468</v>
      </c>
      <c r="H152" s="38">
        <f t="shared" si="28"/>
        <v>198.94086220883693</v>
      </c>
      <c r="I152" s="38">
        <f t="shared" si="23"/>
        <v>83484.11870373592</v>
      </c>
      <c r="J152" s="38">
        <f>SUM($H$18:$H152)</f>
        <v>32282.540915678281</v>
      </c>
      <c r="K152" s="34"/>
      <c r="L152" s="56">
        <f t="shared" si="24"/>
        <v>0.58501744201611372</v>
      </c>
    </row>
    <row r="153" spans="1:12" x14ac:dyDescent="0.2">
      <c r="A153" s="35">
        <f t="shared" si="25"/>
        <v>136</v>
      </c>
      <c r="B153" s="36">
        <f t="shared" si="20"/>
        <v>46113</v>
      </c>
      <c r="C153" s="37">
        <f t="shared" si="26"/>
        <v>83484.11870373592</v>
      </c>
      <c r="D153" s="38">
        <f t="shared" si="29"/>
        <v>479.39572008846164</v>
      </c>
      <c r="E153" s="59">
        <f t="shared" si="21"/>
        <v>0</v>
      </c>
      <c r="F153" s="38">
        <f t="shared" si="22"/>
        <v>479.39572008846164</v>
      </c>
      <c r="G153" s="38">
        <f t="shared" si="27"/>
        <v>281.12093816708887</v>
      </c>
      <c r="H153" s="38">
        <f t="shared" si="28"/>
        <v>198.27478192137281</v>
      </c>
      <c r="I153" s="38">
        <f t="shared" si="23"/>
        <v>83202.997765568827</v>
      </c>
      <c r="J153" s="38">
        <f>SUM($H$18:$H153)</f>
        <v>32480.815697599654</v>
      </c>
      <c r="K153" s="34"/>
      <c r="L153" s="56">
        <f t="shared" si="24"/>
        <v>0.58640685844090212</v>
      </c>
    </row>
    <row r="154" spans="1:12" x14ac:dyDescent="0.2">
      <c r="A154" s="35">
        <f t="shared" si="25"/>
        <v>137</v>
      </c>
      <c r="B154" s="36">
        <f t="shared" si="20"/>
        <v>46143</v>
      </c>
      <c r="C154" s="37">
        <f t="shared" si="26"/>
        <v>83202.997765568827</v>
      </c>
      <c r="D154" s="38">
        <f t="shared" si="29"/>
        <v>479.39572008846164</v>
      </c>
      <c r="E154" s="59">
        <f t="shared" si="21"/>
        <v>0</v>
      </c>
      <c r="F154" s="38">
        <f t="shared" si="22"/>
        <v>479.39572008846164</v>
      </c>
      <c r="G154" s="38">
        <f t="shared" si="27"/>
        <v>281.78860039523568</v>
      </c>
      <c r="H154" s="38">
        <f t="shared" si="28"/>
        <v>197.60711969322597</v>
      </c>
      <c r="I154" s="38">
        <f t="shared" si="23"/>
        <v>82921.209165173597</v>
      </c>
      <c r="J154" s="38">
        <f>SUM($H$18:$H154)</f>
        <v>32678.422817292878</v>
      </c>
      <c r="K154" s="34"/>
      <c r="L154" s="56">
        <f t="shared" si="24"/>
        <v>0.58779957472969924</v>
      </c>
    </row>
    <row r="155" spans="1:12" x14ac:dyDescent="0.2">
      <c r="A155" s="35">
        <f t="shared" si="25"/>
        <v>138</v>
      </c>
      <c r="B155" s="36">
        <f t="shared" si="20"/>
        <v>46174</v>
      </c>
      <c r="C155" s="37">
        <f t="shared" si="26"/>
        <v>82921.209165173597</v>
      </c>
      <c r="D155" s="38">
        <f t="shared" si="29"/>
        <v>479.39572008846164</v>
      </c>
      <c r="E155" s="59">
        <f t="shared" si="21"/>
        <v>0</v>
      </c>
      <c r="F155" s="38">
        <f t="shared" si="22"/>
        <v>479.39572008846164</v>
      </c>
      <c r="G155" s="38">
        <f t="shared" si="27"/>
        <v>282.45784832117431</v>
      </c>
      <c r="H155" s="38">
        <f t="shared" si="28"/>
        <v>196.93787176728731</v>
      </c>
      <c r="I155" s="38">
        <f t="shared" si="23"/>
        <v>82638.751316852416</v>
      </c>
      <c r="J155" s="38">
        <f>SUM($H$18:$H155)</f>
        <v>32875.360689060166</v>
      </c>
      <c r="L155" s="56">
        <f t="shared" si="24"/>
        <v>0.58919559871968219</v>
      </c>
    </row>
    <row r="156" spans="1:12" x14ac:dyDescent="0.2">
      <c r="A156" s="35">
        <f t="shared" si="25"/>
        <v>139</v>
      </c>
      <c r="B156" s="36">
        <f t="shared" si="20"/>
        <v>46204</v>
      </c>
      <c r="C156" s="37">
        <f t="shared" si="26"/>
        <v>82638.751316852416</v>
      </c>
      <c r="D156" s="38">
        <f t="shared" si="29"/>
        <v>479.39572008846164</v>
      </c>
      <c r="E156" s="59">
        <f t="shared" si="21"/>
        <v>0</v>
      </c>
      <c r="F156" s="38">
        <f t="shared" si="22"/>
        <v>479.39572008846164</v>
      </c>
      <c r="G156" s="38">
        <f t="shared" si="27"/>
        <v>283.12868571093713</v>
      </c>
      <c r="H156" s="38">
        <f t="shared" si="28"/>
        <v>196.26703437752451</v>
      </c>
      <c r="I156" s="38">
        <f t="shared" si="23"/>
        <v>82355.622631141479</v>
      </c>
      <c r="J156" s="38">
        <f>SUM($H$18:$H156)</f>
        <v>33071.62772343769</v>
      </c>
      <c r="L156" s="56">
        <f t="shared" si="24"/>
        <v>0.59059493826664144</v>
      </c>
    </row>
    <row r="157" spans="1:12" x14ac:dyDescent="0.2">
      <c r="A157" s="35">
        <f t="shared" si="25"/>
        <v>140</v>
      </c>
      <c r="B157" s="36">
        <f t="shared" si="20"/>
        <v>46235</v>
      </c>
      <c r="C157" s="37">
        <f t="shared" si="26"/>
        <v>82355.622631141479</v>
      </c>
      <c r="D157" s="38">
        <f t="shared" si="29"/>
        <v>479.39572008846164</v>
      </c>
      <c r="E157" s="59">
        <f t="shared" si="21"/>
        <v>0</v>
      </c>
      <c r="F157" s="38">
        <f t="shared" si="22"/>
        <v>479.39572008846164</v>
      </c>
      <c r="G157" s="38">
        <f t="shared" si="27"/>
        <v>283.8011163395006</v>
      </c>
      <c r="H157" s="38">
        <f t="shared" si="28"/>
        <v>195.59460374896102</v>
      </c>
      <c r="I157" s="38">
        <f t="shared" si="23"/>
        <v>82071.821514801981</v>
      </c>
      <c r="J157" s="38">
        <f>SUM($H$18:$H157)</f>
        <v>33267.222327186653</v>
      </c>
      <c r="L157" s="56">
        <f t="shared" si="24"/>
        <v>0.59199760124502465</v>
      </c>
    </row>
    <row r="158" spans="1:12" x14ac:dyDescent="0.2">
      <c r="A158" s="35">
        <f t="shared" si="25"/>
        <v>141</v>
      </c>
      <c r="B158" s="36">
        <f t="shared" si="20"/>
        <v>46266</v>
      </c>
      <c r="C158" s="37">
        <f t="shared" si="26"/>
        <v>82071.821514801981</v>
      </c>
      <c r="D158" s="38">
        <f t="shared" si="29"/>
        <v>479.39572008846164</v>
      </c>
      <c r="E158" s="59">
        <f t="shared" si="21"/>
        <v>0</v>
      </c>
      <c r="F158" s="38">
        <f t="shared" si="22"/>
        <v>479.39572008846164</v>
      </c>
      <c r="G158" s="38">
        <f t="shared" si="27"/>
        <v>284.47514399080694</v>
      </c>
      <c r="H158" s="38">
        <f t="shared" si="28"/>
        <v>194.9205760976547</v>
      </c>
      <c r="I158" s="38">
        <f t="shared" si="23"/>
        <v>81787.346370811167</v>
      </c>
      <c r="J158" s="38">
        <f>SUM($H$18:$H158)</f>
        <v>33462.142903284308</v>
      </c>
      <c r="L158" s="56">
        <f t="shared" si="24"/>
        <v>0.59340359554798172</v>
      </c>
    </row>
    <row r="159" spans="1:12" x14ac:dyDescent="0.2">
      <c r="A159" s="35">
        <f t="shared" si="25"/>
        <v>142</v>
      </c>
      <c r="B159" s="36">
        <f t="shared" si="20"/>
        <v>46296</v>
      </c>
      <c r="C159" s="37">
        <f t="shared" si="26"/>
        <v>81787.346370811167</v>
      </c>
      <c r="D159" s="38">
        <f t="shared" si="29"/>
        <v>479.39572008846164</v>
      </c>
      <c r="E159" s="59">
        <f t="shared" si="21"/>
        <v>0</v>
      </c>
      <c r="F159" s="38">
        <f t="shared" si="22"/>
        <v>479.39572008846164</v>
      </c>
      <c r="G159" s="38">
        <f t="shared" si="27"/>
        <v>285.15077245778514</v>
      </c>
      <c r="H159" s="38">
        <f t="shared" si="28"/>
        <v>194.24494763067653</v>
      </c>
      <c r="I159" s="38">
        <f t="shared" si="23"/>
        <v>81502.195598353384</v>
      </c>
      <c r="J159" s="38">
        <f>SUM($H$18:$H159)</f>
        <v>33656.387850914987</v>
      </c>
      <c r="L159" s="56">
        <f t="shared" si="24"/>
        <v>0.59481292908740824</v>
      </c>
    </row>
    <row r="160" spans="1:12" x14ac:dyDescent="0.2">
      <c r="A160" s="35">
        <f t="shared" si="25"/>
        <v>143</v>
      </c>
      <c r="B160" s="36">
        <f t="shared" si="20"/>
        <v>46327</v>
      </c>
      <c r="C160" s="37">
        <f t="shared" si="26"/>
        <v>81502.195598353384</v>
      </c>
      <c r="D160" s="38">
        <f t="shared" si="29"/>
        <v>479.39572008846164</v>
      </c>
      <c r="E160" s="59">
        <f t="shared" si="21"/>
        <v>0</v>
      </c>
      <c r="F160" s="38">
        <f t="shared" si="22"/>
        <v>479.39572008846164</v>
      </c>
      <c r="G160" s="38">
        <f t="shared" si="27"/>
        <v>285.82800554237235</v>
      </c>
      <c r="H160" s="38">
        <f t="shared" si="28"/>
        <v>193.56771454608929</v>
      </c>
      <c r="I160" s="38">
        <f t="shared" si="23"/>
        <v>81216.367592811017</v>
      </c>
      <c r="J160" s="38">
        <f>SUM($H$18:$H160)</f>
        <v>33849.955565461074</v>
      </c>
      <c r="L160" s="56">
        <f t="shared" si="24"/>
        <v>0.59622560979399075</v>
      </c>
    </row>
    <row r="161" spans="1:12" x14ac:dyDescent="0.2">
      <c r="A161" s="35">
        <f t="shared" si="25"/>
        <v>144</v>
      </c>
      <c r="B161" s="36">
        <f t="shared" si="20"/>
        <v>46357</v>
      </c>
      <c r="C161" s="37">
        <f t="shared" si="26"/>
        <v>81216.367592811017</v>
      </c>
      <c r="D161" s="38">
        <f t="shared" si="29"/>
        <v>479.39572008846164</v>
      </c>
      <c r="E161" s="59">
        <f t="shared" si="21"/>
        <v>0</v>
      </c>
      <c r="F161" s="38">
        <f t="shared" si="22"/>
        <v>479.39572008846164</v>
      </c>
      <c r="G161" s="38">
        <f t="shared" si="27"/>
        <v>286.50684705553545</v>
      </c>
      <c r="H161" s="38">
        <f t="shared" si="28"/>
        <v>192.88887303292617</v>
      </c>
      <c r="I161" s="38">
        <f t="shared" si="23"/>
        <v>80929.860745755475</v>
      </c>
      <c r="J161" s="38">
        <f>SUM($H$18:$H161)</f>
        <v>34042.844438494001</v>
      </c>
      <c r="K161" s="1">
        <f>J161-J149</f>
        <v>2359.1180412740468</v>
      </c>
      <c r="L161" s="56">
        <f t="shared" si="24"/>
        <v>0.59764164561725142</v>
      </c>
    </row>
    <row r="162" spans="1:12" x14ac:dyDescent="0.2">
      <c r="A162" s="35">
        <f t="shared" si="25"/>
        <v>145</v>
      </c>
      <c r="B162" s="36">
        <f t="shared" si="20"/>
        <v>46388</v>
      </c>
      <c r="C162" s="37">
        <f t="shared" si="26"/>
        <v>80929.860745755475</v>
      </c>
      <c r="D162" s="38">
        <f t="shared" si="29"/>
        <v>479.39572008846164</v>
      </c>
      <c r="E162" s="59">
        <f t="shared" si="21"/>
        <v>0</v>
      </c>
      <c r="F162" s="38">
        <f t="shared" si="22"/>
        <v>479.39572008846164</v>
      </c>
      <c r="G162" s="38">
        <f t="shared" si="27"/>
        <v>287.18730081729234</v>
      </c>
      <c r="H162" s="38">
        <f t="shared" si="28"/>
        <v>192.20841927116928</v>
      </c>
      <c r="I162" s="38">
        <f t="shared" si="23"/>
        <v>80642.673444938177</v>
      </c>
      <c r="J162" s="38">
        <f>SUM($H$18:$H162)</f>
        <v>34235.052857765171</v>
      </c>
      <c r="K162" s="34"/>
      <c r="L162" s="56">
        <f t="shared" si="24"/>
        <v>0.59906104452559239</v>
      </c>
    </row>
    <row r="163" spans="1:12" x14ac:dyDescent="0.2">
      <c r="A163" s="35">
        <f t="shared" si="25"/>
        <v>146</v>
      </c>
      <c r="B163" s="36">
        <f t="shared" si="20"/>
        <v>46419</v>
      </c>
      <c r="C163" s="37">
        <f t="shared" si="26"/>
        <v>80642.673444938177</v>
      </c>
      <c r="D163" s="38">
        <f t="shared" si="29"/>
        <v>479.39572008846164</v>
      </c>
      <c r="E163" s="59">
        <f t="shared" si="21"/>
        <v>0</v>
      </c>
      <c r="F163" s="38">
        <f t="shared" si="22"/>
        <v>479.39572008846164</v>
      </c>
      <c r="G163" s="38">
        <f t="shared" si="27"/>
        <v>287.86937065673351</v>
      </c>
      <c r="H163" s="38">
        <f t="shared" si="28"/>
        <v>191.52634943172816</v>
      </c>
      <c r="I163" s="38">
        <f t="shared" si="23"/>
        <v>80354.804074281448</v>
      </c>
      <c r="J163" s="38">
        <f>SUM($H$18:$H163)</f>
        <v>34426.579207196897</v>
      </c>
      <c r="K163" s="34"/>
      <c r="L163" s="56">
        <f t="shared" si="24"/>
        <v>0.60048381450634092</v>
      </c>
    </row>
    <row r="164" spans="1:12" x14ac:dyDescent="0.2">
      <c r="A164" s="35">
        <f t="shared" si="25"/>
        <v>147</v>
      </c>
      <c r="B164" s="36">
        <f t="shared" si="20"/>
        <v>46447</v>
      </c>
      <c r="C164" s="37">
        <f t="shared" si="26"/>
        <v>80354.804074281448</v>
      </c>
      <c r="D164" s="38">
        <f t="shared" si="29"/>
        <v>479.39572008846164</v>
      </c>
      <c r="E164" s="59">
        <f t="shared" si="21"/>
        <v>0</v>
      </c>
      <c r="F164" s="38">
        <f t="shared" si="22"/>
        <v>479.39572008846164</v>
      </c>
      <c r="G164" s="38">
        <f t="shared" si="27"/>
        <v>288.55306041204324</v>
      </c>
      <c r="H164" s="38">
        <f t="shared" si="28"/>
        <v>190.84265967641844</v>
      </c>
      <c r="I164" s="38">
        <f t="shared" si="23"/>
        <v>80066.251013869405</v>
      </c>
      <c r="J164" s="38">
        <f>SUM($H$18:$H164)</f>
        <v>34617.421866873316</v>
      </c>
      <c r="K164" s="34"/>
      <c r="L164" s="56">
        <f t="shared" si="24"/>
        <v>0.6019099635657934</v>
      </c>
    </row>
    <row r="165" spans="1:12" x14ac:dyDescent="0.2">
      <c r="A165" s="35">
        <f t="shared" si="25"/>
        <v>148</v>
      </c>
      <c r="B165" s="36">
        <f t="shared" si="20"/>
        <v>46478</v>
      </c>
      <c r="C165" s="37">
        <f t="shared" si="26"/>
        <v>80066.251013869405</v>
      </c>
      <c r="D165" s="38">
        <f t="shared" si="29"/>
        <v>479.39572008846164</v>
      </c>
      <c r="E165" s="59">
        <f t="shared" si="21"/>
        <v>0</v>
      </c>
      <c r="F165" s="38">
        <f t="shared" si="22"/>
        <v>479.39572008846164</v>
      </c>
      <c r="G165" s="38">
        <f t="shared" si="27"/>
        <v>289.23837393052179</v>
      </c>
      <c r="H165" s="38">
        <f t="shared" si="28"/>
        <v>190.15734615793986</v>
      </c>
      <c r="I165" s="38">
        <f t="shared" si="23"/>
        <v>79777.012639938883</v>
      </c>
      <c r="J165" s="38">
        <f>SUM($H$18:$H165)</f>
        <v>34807.579213031255</v>
      </c>
      <c r="K165" s="34"/>
      <c r="L165" s="56">
        <f t="shared" si="24"/>
        <v>0.60333949972926204</v>
      </c>
    </row>
    <row r="166" spans="1:12" x14ac:dyDescent="0.2">
      <c r="A166" s="35">
        <f t="shared" si="25"/>
        <v>149</v>
      </c>
      <c r="B166" s="36">
        <f t="shared" si="20"/>
        <v>46508</v>
      </c>
      <c r="C166" s="37">
        <f t="shared" si="26"/>
        <v>79777.012639938883</v>
      </c>
      <c r="D166" s="38">
        <f t="shared" si="29"/>
        <v>479.39572008846164</v>
      </c>
      <c r="E166" s="59">
        <f t="shared" si="21"/>
        <v>0</v>
      </c>
      <c r="F166" s="38">
        <f t="shared" si="22"/>
        <v>479.39572008846164</v>
      </c>
      <c r="G166" s="38">
        <f t="shared" si="27"/>
        <v>289.92531506860678</v>
      </c>
      <c r="H166" s="38">
        <f t="shared" si="28"/>
        <v>189.47040501985487</v>
      </c>
      <c r="I166" s="38">
        <f t="shared" si="23"/>
        <v>79487.08732487027</v>
      </c>
      <c r="J166" s="38">
        <f>SUM($H$18:$H166)</f>
        <v>34997.049618051111</v>
      </c>
      <c r="K166" s="34"/>
      <c r="L166" s="56">
        <f t="shared" si="24"/>
        <v>0.604772431041119</v>
      </c>
    </row>
    <row r="167" spans="1:12" x14ac:dyDescent="0.2">
      <c r="A167" s="35">
        <f t="shared" si="25"/>
        <v>150</v>
      </c>
      <c r="B167" s="36">
        <f t="shared" si="20"/>
        <v>46539</v>
      </c>
      <c r="C167" s="37">
        <f t="shared" si="26"/>
        <v>79487.08732487027</v>
      </c>
      <c r="D167" s="38">
        <f t="shared" si="29"/>
        <v>479.39572008846164</v>
      </c>
      <c r="E167" s="59">
        <f t="shared" si="21"/>
        <v>0</v>
      </c>
      <c r="F167" s="38">
        <f t="shared" si="22"/>
        <v>479.39572008846164</v>
      </c>
      <c r="G167" s="38">
        <f t="shared" si="27"/>
        <v>290.61388769189477</v>
      </c>
      <c r="H167" s="38">
        <f t="shared" si="28"/>
        <v>188.7818323965669</v>
      </c>
      <c r="I167" s="38">
        <f t="shared" si="23"/>
        <v>79196.473437178371</v>
      </c>
      <c r="J167" s="38">
        <f>SUM($H$18:$H167)</f>
        <v>35185.83145044768</v>
      </c>
      <c r="L167" s="56">
        <f t="shared" si="24"/>
        <v>0.60620876556484182</v>
      </c>
    </row>
    <row r="168" spans="1:12" x14ac:dyDescent="0.2">
      <c r="A168" s="35">
        <f t="shared" si="25"/>
        <v>151</v>
      </c>
      <c r="B168" s="36">
        <f t="shared" si="20"/>
        <v>46569</v>
      </c>
      <c r="C168" s="37">
        <f t="shared" si="26"/>
        <v>79196.473437178371</v>
      </c>
      <c r="D168" s="38">
        <f t="shared" si="29"/>
        <v>479.39572008846164</v>
      </c>
      <c r="E168" s="59">
        <f t="shared" si="21"/>
        <v>0</v>
      </c>
      <c r="F168" s="38">
        <f t="shared" si="22"/>
        <v>479.39572008846164</v>
      </c>
      <c r="G168" s="38">
        <f t="shared" si="27"/>
        <v>291.30409567516301</v>
      </c>
      <c r="H168" s="38">
        <f t="shared" si="28"/>
        <v>188.09162441329863</v>
      </c>
      <c r="I168" s="38">
        <f t="shared" si="23"/>
        <v>78905.169341503206</v>
      </c>
      <c r="J168" s="38">
        <f>SUM($H$18:$H168)</f>
        <v>35373.923074860977</v>
      </c>
      <c r="L168" s="56">
        <f t="shared" si="24"/>
        <v>0.60764851138305831</v>
      </c>
    </row>
    <row r="169" spans="1:12" x14ac:dyDescent="0.2">
      <c r="A169" s="35">
        <f t="shared" si="25"/>
        <v>152</v>
      </c>
      <c r="B169" s="36">
        <f t="shared" si="20"/>
        <v>46600</v>
      </c>
      <c r="C169" s="37">
        <f t="shared" si="26"/>
        <v>78905.169341503206</v>
      </c>
      <c r="D169" s="38">
        <f t="shared" si="29"/>
        <v>479.39572008846164</v>
      </c>
      <c r="E169" s="59">
        <f t="shared" si="21"/>
        <v>0</v>
      </c>
      <c r="F169" s="38">
        <f t="shared" si="22"/>
        <v>479.39572008846164</v>
      </c>
      <c r="G169" s="38">
        <f t="shared" si="27"/>
        <v>291.99594290239156</v>
      </c>
      <c r="H169" s="38">
        <f t="shared" si="28"/>
        <v>187.39977718607011</v>
      </c>
      <c r="I169" s="38">
        <f t="shared" si="23"/>
        <v>78613.173398600818</v>
      </c>
      <c r="J169" s="38">
        <f>SUM($H$18:$H169)</f>
        <v>35561.322852047044</v>
      </c>
      <c r="L169" s="56">
        <f t="shared" si="24"/>
        <v>0.60909167659759311</v>
      </c>
    </row>
    <row r="170" spans="1:12" x14ac:dyDescent="0.2">
      <c r="A170" s="35">
        <f t="shared" si="25"/>
        <v>153</v>
      </c>
      <c r="B170" s="36">
        <f t="shared" si="20"/>
        <v>46631</v>
      </c>
      <c r="C170" s="37">
        <f t="shared" si="26"/>
        <v>78613.173398600818</v>
      </c>
      <c r="D170" s="38">
        <f t="shared" si="29"/>
        <v>479.39572008846164</v>
      </c>
      <c r="E170" s="59">
        <f t="shared" si="21"/>
        <v>0</v>
      </c>
      <c r="F170" s="38">
        <f t="shared" si="22"/>
        <v>479.39572008846164</v>
      </c>
      <c r="G170" s="38">
        <f t="shared" si="27"/>
        <v>292.6894332667847</v>
      </c>
      <c r="H170" s="38">
        <f t="shared" si="28"/>
        <v>186.70628682167694</v>
      </c>
      <c r="I170" s="38">
        <f t="shared" si="23"/>
        <v>78320.483965334031</v>
      </c>
      <c r="J170" s="38">
        <f>SUM($H$18:$H170)</f>
        <v>35748.029138868718</v>
      </c>
      <c r="L170" s="56">
        <f t="shared" si="24"/>
        <v>0.61053826932951238</v>
      </c>
    </row>
    <row r="171" spans="1:12" x14ac:dyDescent="0.2">
      <c r="A171" s="35">
        <f t="shared" si="25"/>
        <v>154</v>
      </c>
      <c r="B171" s="36">
        <f t="shared" si="20"/>
        <v>46661</v>
      </c>
      <c r="C171" s="37">
        <f t="shared" si="26"/>
        <v>78320.483965334031</v>
      </c>
      <c r="D171" s="38">
        <f t="shared" si="29"/>
        <v>479.39572008846164</v>
      </c>
      <c r="E171" s="59">
        <f t="shared" si="21"/>
        <v>0</v>
      </c>
      <c r="F171" s="38">
        <f t="shared" si="22"/>
        <v>479.39572008846164</v>
      </c>
      <c r="G171" s="38">
        <f t="shared" si="27"/>
        <v>293.38457067079332</v>
      </c>
      <c r="H171" s="38">
        <f t="shared" si="28"/>
        <v>186.01114941766832</v>
      </c>
      <c r="I171" s="38">
        <f t="shared" si="23"/>
        <v>78027.099394663237</v>
      </c>
      <c r="J171" s="38">
        <f>SUM($H$18:$H171)</f>
        <v>35934.040288286385</v>
      </c>
      <c r="L171" s="56">
        <f t="shared" si="24"/>
        <v>0.61198829771916996</v>
      </c>
    </row>
    <row r="172" spans="1:12" x14ac:dyDescent="0.2">
      <c r="A172" s="35">
        <f t="shared" si="25"/>
        <v>155</v>
      </c>
      <c r="B172" s="36">
        <f t="shared" si="20"/>
        <v>46692</v>
      </c>
      <c r="C172" s="37">
        <f t="shared" si="26"/>
        <v>78027.099394663237</v>
      </c>
      <c r="D172" s="38">
        <f t="shared" si="29"/>
        <v>479.39572008846164</v>
      </c>
      <c r="E172" s="59">
        <f t="shared" si="21"/>
        <v>0</v>
      </c>
      <c r="F172" s="38">
        <f t="shared" si="22"/>
        <v>479.39572008846164</v>
      </c>
      <c r="G172" s="38">
        <f t="shared" si="27"/>
        <v>294.0813590261364</v>
      </c>
      <c r="H172" s="38">
        <f t="shared" si="28"/>
        <v>185.31436106232522</v>
      </c>
      <c r="I172" s="38">
        <f t="shared" si="23"/>
        <v>77733.018035637098</v>
      </c>
      <c r="J172" s="38">
        <f>SUM($H$18:$H172)</f>
        <v>36119.354649348708</v>
      </c>
      <c r="L172" s="56">
        <f t="shared" si="24"/>
        <v>0.61344176992625288</v>
      </c>
    </row>
    <row r="173" spans="1:12" x14ac:dyDescent="0.2">
      <c r="A173" s="35">
        <f t="shared" si="25"/>
        <v>156</v>
      </c>
      <c r="B173" s="36">
        <f t="shared" si="20"/>
        <v>46722</v>
      </c>
      <c r="C173" s="37">
        <f t="shared" si="26"/>
        <v>77733.018035637098</v>
      </c>
      <c r="D173" s="38">
        <f t="shared" si="29"/>
        <v>479.39572008846164</v>
      </c>
      <c r="E173" s="59">
        <f t="shared" si="21"/>
        <v>0</v>
      </c>
      <c r="F173" s="38">
        <f t="shared" si="22"/>
        <v>479.39572008846164</v>
      </c>
      <c r="G173" s="38">
        <f t="shared" si="27"/>
        <v>294.7798022538235</v>
      </c>
      <c r="H173" s="38">
        <f t="shared" si="28"/>
        <v>184.61591783463811</v>
      </c>
      <c r="I173" s="38">
        <f t="shared" si="23"/>
        <v>77438.238233383279</v>
      </c>
      <c r="J173" s="38">
        <f>SUM($H$18:$H173)</f>
        <v>36303.970567183344</v>
      </c>
      <c r="K173" s="1">
        <f>J173-J161</f>
        <v>2261.1261286893423</v>
      </c>
      <c r="L173" s="56">
        <f t="shared" si="24"/>
        <v>0.61489869412982778</v>
      </c>
    </row>
    <row r="174" spans="1:12" x14ac:dyDescent="0.2">
      <c r="A174" s="35">
        <f t="shared" si="25"/>
        <v>157</v>
      </c>
      <c r="B174" s="36">
        <f t="shared" si="20"/>
        <v>46753</v>
      </c>
      <c r="C174" s="37">
        <f t="shared" si="26"/>
        <v>77438.238233383279</v>
      </c>
      <c r="D174" s="38">
        <f t="shared" si="29"/>
        <v>479.39572008846164</v>
      </c>
      <c r="E174" s="59">
        <f t="shared" si="21"/>
        <v>0</v>
      </c>
      <c r="F174" s="38">
        <f t="shared" si="22"/>
        <v>479.39572008846164</v>
      </c>
      <c r="G174" s="38">
        <f t="shared" si="27"/>
        <v>295.47990428417631</v>
      </c>
      <c r="H174" s="38">
        <f t="shared" si="28"/>
        <v>183.9158158042853</v>
      </c>
      <c r="I174" s="38">
        <f t="shared" si="23"/>
        <v>77142.758329099102</v>
      </c>
      <c r="J174" s="38">
        <f>SUM($H$18:$H174)</f>
        <v>36487.886382987628</v>
      </c>
      <c r="K174" s="34"/>
      <c r="L174" s="56">
        <f t="shared" si="24"/>
        <v>0.61635907852838601</v>
      </c>
    </row>
    <row r="175" spans="1:12" x14ac:dyDescent="0.2">
      <c r="A175" s="35">
        <f t="shared" si="25"/>
        <v>158</v>
      </c>
      <c r="B175" s="36">
        <f t="shared" si="20"/>
        <v>46784</v>
      </c>
      <c r="C175" s="37">
        <f t="shared" si="26"/>
        <v>77142.758329099102</v>
      </c>
      <c r="D175" s="38">
        <f t="shared" si="29"/>
        <v>479.39572008846164</v>
      </c>
      <c r="E175" s="59">
        <f t="shared" si="21"/>
        <v>0</v>
      </c>
      <c r="F175" s="38">
        <f t="shared" si="22"/>
        <v>479.39572008846164</v>
      </c>
      <c r="G175" s="38">
        <f t="shared" si="27"/>
        <v>296.18166905685132</v>
      </c>
      <c r="H175" s="38">
        <f t="shared" si="28"/>
        <v>183.21405103161035</v>
      </c>
      <c r="I175" s="38">
        <f t="shared" si="23"/>
        <v>76846.57666004225</v>
      </c>
      <c r="J175" s="38">
        <f>SUM($H$18:$H175)</f>
        <v>36671.100434019238</v>
      </c>
      <c r="K175" s="34"/>
      <c r="L175" s="56">
        <f t="shared" si="24"/>
        <v>0.61782293133989119</v>
      </c>
    </row>
    <row r="176" spans="1:12" x14ac:dyDescent="0.2">
      <c r="A176" s="35">
        <f t="shared" si="25"/>
        <v>159</v>
      </c>
      <c r="B176" s="36">
        <f t="shared" si="20"/>
        <v>46813</v>
      </c>
      <c r="C176" s="37">
        <f t="shared" si="26"/>
        <v>76846.57666004225</v>
      </c>
      <c r="D176" s="38">
        <f t="shared" si="29"/>
        <v>479.39572008846164</v>
      </c>
      <c r="E176" s="59">
        <f t="shared" si="21"/>
        <v>0</v>
      </c>
      <c r="F176" s="38">
        <f t="shared" si="22"/>
        <v>479.39572008846164</v>
      </c>
      <c r="G176" s="38">
        <f t="shared" si="27"/>
        <v>296.88510052086133</v>
      </c>
      <c r="H176" s="38">
        <f t="shared" si="28"/>
        <v>182.51061956760034</v>
      </c>
      <c r="I176" s="38">
        <f t="shared" si="23"/>
        <v>76549.691559521394</v>
      </c>
      <c r="J176" s="38">
        <f>SUM($H$18:$H176)</f>
        <v>36853.611053586836</v>
      </c>
      <c r="K176" s="34"/>
      <c r="L176" s="56">
        <f t="shared" si="24"/>
        <v>0.61929026080182337</v>
      </c>
    </row>
    <row r="177" spans="1:12" x14ac:dyDescent="0.2">
      <c r="A177" s="35">
        <f t="shared" si="25"/>
        <v>160</v>
      </c>
      <c r="B177" s="36">
        <f t="shared" si="20"/>
        <v>46844</v>
      </c>
      <c r="C177" s="37">
        <f t="shared" si="26"/>
        <v>76549.691559521394</v>
      </c>
      <c r="D177" s="38">
        <f t="shared" si="29"/>
        <v>479.39572008846164</v>
      </c>
      <c r="E177" s="59">
        <f t="shared" si="21"/>
        <v>0</v>
      </c>
      <c r="F177" s="38">
        <f t="shared" si="22"/>
        <v>479.39572008846164</v>
      </c>
      <c r="G177" s="38">
        <f t="shared" si="27"/>
        <v>297.59020263459831</v>
      </c>
      <c r="H177" s="38">
        <f t="shared" si="28"/>
        <v>181.80551745386333</v>
      </c>
      <c r="I177" s="38">
        <f t="shared" si="23"/>
        <v>76252.101356886793</v>
      </c>
      <c r="J177" s="38">
        <f>SUM($H$18:$H177)</f>
        <v>37035.416571040696</v>
      </c>
      <c r="K177" s="34"/>
      <c r="L177" s="56">
        <f t="shared" si="24"/>
        <v>0.62076107517122758</v>
      </c>
    </row>
    <row r="178" spans="1:12" x14ac:dyDescent="0.2">
      <c r="A178" s="35">
        <f t="shared" si="25"/>
        <v>161</v>
      </c>
      <c r="B178" s="36">
        <f t="shared" si="20"/>
        <v>46874</v>
      </c>
      <c r="C178" s="37">
        <f t="shared" si="26"/>
        <v>76252.101356886793</v>
      </c>
      <c r="D178" s="38">
        <f t="shared" si="29"/>
        <v>479.39572008846164</v>
      </c>
      <c r="E178" s="59">
        <f t="shared" si="21"/>
        <v>0</v>
      </c>
      <c r="F178" s="38">
        <f t="shared" si="22"/>
        <v>479.39572008846164</v>
      </c>
      <c r="G178" s="38">
        <f t="shared" si="27"/>
        <v>298.29697936585546</v>
      </c>
      <c r="H178" s="38">
        <f t="shared" si="28"/>
        <v>181.09874072260615</v>
      </c>
      <c r="I178" s="38">
        <f t="shared" si="23"/>
        <v>75953.804377520937</v>
      </c>
      <c r="J178" s="38">
        <f>SUM($H$18:$H178)</f>
        <v>37216.515311763302</v>
      </c>
      <c r="K178" s="34"/>
      <c r="L178" s="56">
        <f t="shared" si="24"/>
        <v>0.6222353827247592</v>
      </c>
    </row>
    <row r="179" spans="1:12" x14ac:dyDescent="0.2">
      <c r="A179" s="35">
        <f t="shared" si="25"/>
        <v>162</v>
      </c>
      <c r="B179" s="36">
        <f t="shared" si="20"/>
        <v>46905</v>
      </c>
      <c r="C179" s="37">
        <f t="shared" si="26"/>
        <v>75953.804377520937</v>
      </c>
      <c r="D179" s="38">
        <f t="shared" si="29"/>
        <v>479.39572008846164</v>
      </c>
      <c r="E179" s="59">
        <f t="shared" si="21"/>
        <v>0</v>
      </c>
      <c r="F179" s="38">
        <f t="shared" si="22"/>
        <v>479.39572008846164</v>
      </c>
      <c r="G179" s="38">
        <f t="shared" si="27"/>
        <v>299.00543469184936</v>
      </c>
      <c r="H179" s="38">
        <f t="shared" si="28"/>
        <v>180.39028539661226</v>
      </c>
      <c r="I179" s="38">
        <f t="shared" si="23"/>
        <v>75654.798942829089</v>
      </c>
      <c r="J179" s="38">
        <f>SUM($H$18:$H179)</f>
        <v>37396.905597159915</v>
      </c>
      <c r="L179" s="56">
        <f t="shared" si="24"/>
        <v>0.62371319175873052</v>
      </c>
    </row>
    <row r="180" spans="1:12" x14ac:dyDescent="0.2">
      <c r="A180" s="35">
        <f t="shared" si="25"/>
        <v>163</v>
      </c>
      <c r="B180" s="36">
        <f t="shared" si="20"/>
        <v>46935</v>
      </c>
      <c r="C180" s="37">
        <f t="shared" si="26"/>
        <v>75654.798942829089</v>
      </c>
      <c r="D180" s="38">
        <f t="shared" si="29"/>
        <v>479.39572008846164</v>
      </c>
      <c r="E180" s="59">
        <f t="shared" si="21"/>
        <v>0</v>
      </c>
      <c r="F180" s="38">
        <f t="shared" si="22"/>
        <v>479.39572008846164</v>
      </c>
      <c r="G180" s="38">
        <f t="shared" si="27"/>
        <v>299.71557259924259</v>
      </c>
      <c r="H180" s="38">
        <f t="shared" si="28"/>
        <v>179.68014748921908</v>
      </c>
      <c r="I180" s="38">
        <f t="shared" si="23"/>
        <v>75355.083370229841</v>
      </c>
      <c r="J180" s="38">
        <f>SUM($H$18:$H180)</f>
        <v>37576.585744649135</v>
      </c>
      <c r="L180" s="56">
        <f t="shared" si="24"/>
        <v>0.62519451058915765</v>
      </c>
    </row>
    <row r="181" spans="1:12" x14ac:dyDescent="0.2">
      <c r="A181" s="35">
        <f t="shared" si="25"/>
        <v>164</v>
      </c>
      <c r="B181" s="36">
        <f t="shared" si="20"/>
        <v>46966</v>
      </c>
      <c r="C181" s="37">
        <f t="shared" si="26"/>
        <v>75355.083370229841</v>
      </c>
      <c r="D181" s="38">
        <f t="shared" si="29"/>
        <v>479.39572008846164</v>
      </c>
      <c r="E181" s="59">
        <f t="shared" si="21"/>
        <v>0</v>
      </c>
      <c r="F181" s="38">
        <f t="shared" si="22"/>
        <v>479.39572008846164</v>
      </c>
      <c r="G181" s="38">
        <f t="shared" si="27"/>
        <v>300.42739708416582</v>
      </c>
      <c r="H181" s="38">
        <f t="shared" si="28"/>
        <v>178.96832300429585</v>
      </c>
      <c r="I181" s="38">
        <f t="shared" si="23"/>
        <v>75054.65597314568</v>
      </c>
      <c r="J181" s="38">
        <f>SUM($H$18:$H181)</f>
        <v>37755.554067653429</v>
      </c>
      <c r="L181" s="56">
        <f t="shared" si="24"/>
        <v>0.62667934755180699</v>
      </c>
    </row>
    <row r="182" spans="1:12" x14ac:dyDescent="0.2">
      <c r="A182" s="35">
        <f t="shared" si="25"/>
        <v>165</v>
      </c>
      <c r="B182" s="36">
        <f t="shared" si="20"/>
        <v>46997</v>
      </c>
      <c r="C182" s="37">
        <f t="shared" si="26"/>
        <v>75054.65597314568</v>
      </c>
      <c r="D182" s="38">
        <f t="shared" si="29"/>
        <v>479.39572008846164</v>
      </c>
      <c r="E182" s="59">
        <f t="shared" si="21"/>
        <v>0</v>
      </c>
      <c r="F182" s="38">
        <f t="shared" si="22"/>
        <v>479.39572008846164</v>
      </c>
      <c r="G182" s="38">
        <f t="shared" si="27"/>
        <v>301.14091215224062</v>
      </c>
      <c r="H182" s="38">
        <f t="shared" si="28"/>
        <v>178.254807936221</v>
      </c>
      <c r="I182" s="38">
        <f t="shared" si="23"/>
        <v>74753.515060993435</v>
      </c>
      <c r="J182" s="38">
        <f>SUM($H$18:$H182)</f>
        <v>37933.808875589653</v>
      </c>
      <c r="L182" s="56">
        <f t="shared" si="24"/>
        <v>0.62816771100224233</v>
      </c>
    </row>
    <row r="183" spans="1:12" x14ac:dyDescent="0.2">
      <c r="A183" s="35">
        <f t="shared" si="25"/>
        <v>166</v>
      </c>
      <c r="B183" s="36">
        <f t="shared" si="20"/>
        <v>47027</v>
      </c>
      <c r="C183" s="37">
        <f t="shared" si="26"/>
        <v>74753.515060993435</v>
      </c>
      <c r="D183" s="38">
        <f t="shared" si="29"/>
        <v>479.39572008846164</v>
      </c>
      <c r="E183" s="59">
        <f t="shared" si="21"/>
        <v>0</v>
      </c>
      <c r="F183" s="38">
        <f t="shared" si="22"/>
        <v>479.39572008846164</v>
      </c>
      <c r="G183" s="38">
        <f t="shared" si="27"/>
        <v>301.85612181860222</v>
      </c>
      <c r="H183" s="38">
        <f t="shared" si="28"/>
        <v>177.53959826985943</v>
      </c>
      <c r="I183" s="38">
        <f t="shared" si="23"/>
        <v>74451.658939174828</v>
      </c>
      <c r="J183" s="38">
        <f>SUM($H$18:$H183)</f>
        <v>38111.348473859514</v>
      </c>
      <c r="L183" s="56">
        <f t="shared" si="24"/>
        <v>0.62965960931587273</v>
      </c>
    </row>
    <row r="184" spans="1:12" x14ac:dyDescent="0.2">
      <c r="A184" s="35">
        <f t="shared" si="25"/>
        <v>167</v>
      </c>
      <c r="B184" s="36">
        <f t="shared" si="20"/>
        <v>47058</v>
      </c>
      <c r="C184" s="37">
        <f t="shared" si="26"/>
        <v>74451.658939174828</v>
      </c>
      <c r="D184" s="38">
        <f t="shared" si="29"/>
        <v>479.39572008846164</v>
      </c>
      <c r="E184" s="59">
        <f t="shared" si="21"/>
        <v>0</v>
      </c>
      <c r="F184" s="38">
        <f t="shared" si="22"/>
        <v>479.39572008846164</v>
      </c>
      <c r="G184" s="38">
        <f t="shared" si="27"/>
        <v>302.57303010792145</v>
      </c>
      <c r="H184" s="38">
        <f t="shared" si="28"/>
        <v>176.82268998054022</v>
      </c>
      <c r="I184" s="38">
        <f t="shared" si="23"/>
        <v>74149.085909066911</v>
      </c>
      <c r="J184" s="38">
        <f>SUM($H$18:$H184)</f>
        <v>38288.171163840052</v>
      </c>
      <c r="L184" s="56">
        <f t="shared" si="24"/>
        <v>0.63115505088799795</v>
      </c>
    </row>
    <row r="185" spans="1:12" x14ac:dyDescent="0.2">
      <c r="A185" s="35">
        <f t="shared" si="25"/>
        <v>168</v>
      </c>
      <c r="B185" s="36">
        <f t="shared" si="20"/>
        <v>47088</v>
      </c>
      <c r="C185" s="37">
        <f t="shared" si="26"/>
        <v>74149.085909066911</v>
      </c>
      <c r="D185" s="38">
        <f t="shared" si="29"/>
        <v>479.39572008846164</v>
      </c>
      <c r="E185" s="59">
        <f t="shared" si="21"/>
        <v>0</v>
      </c>
      <c r="F185" s="38">
        <f t="shared" si="22"/>
        <v>479.39572008846164</v>
      </c>
      <c r="G185" s="38">
        <f t="shared" si="27"/>
        <v>303.29164105442771</v>
      </c>
      <c r="H185" s="38">
        <f t="shared" si="28"/>
        <v>176.10407903403393</v>
      </c>
      <c r="I185" s="38">
        <f t="shared" si="23"/>
        <v>73845.794268012483</v>
      </c>
      <c r="J185" s="38">
        <f>SUM($H$18:$H185)</f>
        <v>38464.275242874086</v>
      </c>
      <c r="K185" s="1">
        <f>J185-J173</f>
        <v>2160.3046756907424</v>
      </c>
      <c r="L185" s="56">
        <f t="shared" si="24"/>
        <v>0.63265404413385684</v>
      </c>
    </row>
    <row r="186" spans="1:12" x14ac:dyDescent="0.2">
      <c r="A186" s="35">
        <f t="shared" si="25"/>
        <v>169</v>
      </c>
      <c r="B186" s="36">
        <f t="shared" si="20"/>
        <v>47119</v>
      </c>
      <c r="C186" s="37">
        <f t="shared" si="26"/>
        <v>73845.794268012483</v>
      </c>
      <c r="D186" s="38">
        <f t="shared" si="29"/>
        <v>479.39572008846164</v>
      </c>
      <c r="E186" s="59">
        <f t="shared" si="21"/>
        <v>0</v>
      </c>
      <c r="F186" s="38">
        <f t="shared" si="22"/>
        <v>479.39572008846164</v>
      </c>
      <c r="G186" s="38">
        <f t="shared" si="27"/>
        <v>304.01195870193203</v>
      </c>
      <c r="H186" s="38">
        <f t="shared" si="28"/>
        <v>175.38376138652964</v>
      </c>
      <c r="I186" s="38">
        <f t="shared" si="23"/>
        <v>73541.782309310554</v>
      </c>
      <c r="J186" s="38">
        <f>SUM($H$18:$H186)</f>
        <v>38639.659004260619</v>
      </c>
      <c r="K186" s="34"/>
      <c r="L186" s="56">
        <f t="shared" si="24"/>
        <v>0.63415659748867492</v>
      </c>
    </row>
    <row r="187" spans="1:12" x14ac:dyDescent="0.2">
      <c r="A187" s="35">
        <f t="shared" si="25"/>
        <v>170</v>
      </c>
      <c r="B187" s="36">
        <f t="shared" si="20"/>
        <v>47150</v>
      </c>
      <c r="C187" s="37">
        <f t="shared" si="26"/>
        <v>73541.782309310554</v>
      </c>
      <c r="D187" s="38">
        <f t="shared" si="29"/>
        <v>479.39572008846164</v>
      </c>
      <c r="E187" s="59">
        <f t="shared" si="21"/>
        <v>0</v>
      </c>
      <c r="F187" s="38">
        <f t="shared" si="22"/>
        <v>479.39572008846164</v>
      </c>
      <c r="G187" s="38">
        <f t="shared" si="27"/>
        <v>304.73398710384902</v>
      </c>
      <c r="H187" s="38">
        <f t="shared" si="28"/>
        <v>174.6617329846126</v>
      </c>
      <c r="I187" s="38">
        <f t="shared" si="23"/>
        <v>73237.048322206712</v>
      </c>
      <c r="J187" s="38">
        <f>SUM($H$18:$H187)</f>
        <v>38814.320737245231</v>
      </c>
      <c r="K187" s="34"/>
      <c r="L187" s="56">
        <f t="shared" si="24"/>
        <v>0.63566271940771024</v>
      </c>
    </row>
    <row r="188" spans="1:12" x14ac:dyDescent="0.2">
      <c r="A188" s="35">
        <f t="shared" si="25"/>
        <v>171</v>
      </c>
      <c r="B188" s="36">
        <f t="shared" si="20"/>
        <v>47178</v>
      </c>
      <c r="C188" s="37">
        <f t="shared" si="26"/>
        <v>73237.048322206712</v>
      </c>
      <c r="D188" s="38">
        <f t="shared" si="29"/>
        <v>479.39572008846164</v>
      </c>
      <c r="E188" s="59">
        <f t="shared" si="21"/>
        <v>0</v>
      </c>
      <c r="F188" s="38">
        <f t="shared" si="22"/>
        <v>479.39572008846164</v>
      </c>
      <c r="G188" s="38">
        <f t="shared" si="27"/>
        <v>305.45773032322074</v>
      </c>
      <c r="H188" s="38">
        <f t="shared" si="28"/>
        <v>173.93798976524093</v>
      </c>
      <c r="I188" s="38">
        <f t="shared" si="23"/>
        <v>72931.590591883491</v>
      </c>
      <c r="J188" s="38">
        <f>SUM($H$18:$H188)</f>
        <v>38988.25872701047</v>
      </c>
      <c r="K188" s="34"/>
      <c r="L188" s="56">
        <f t="shared" si="24"/>
        <v>0.63717241836630378</v>
      </c>
    </row>
    <row r="189" spans="1:12" x14ac:dyDescent="0.2">
      <c r="A189" s="35">
        <f t="shared" si="25"/>
        <v>172</v>
      </c>
      <c r="B189" s="36">
        <f t="shared" si="20"/>
        <v>47209</v>
      </c>
      <c r="C189" s="37">
        <f t="shared" si="26"/>
        <v>72931.590591883491</v>
      </c>
      <c r="D189" s="38">
        <f t="shared" si="29"/>
        <v>479.39572008846164</v>
      </c>
      <c r="E189" s="59">
        <f t="shared" si="21"/>
        <v>0</v>
      </c>
      <c r="F189" s="38">
        <f t="shared" si="22"/>
        <v>479.39572008846164</v>
      </c>
      <c r="G189" s="38">
        <f t="shared" si="27"/>
        <v>306.18319243273834</v>
      </c>
      <c r="H189" s="38">
        <f t="shared" si="28"/>
        <v>173.21252765572331</v>
      </c>
      <c r="I189" s="38">
        <f t="shared" si="23"/>
        <v>72625.407399450749</v>
      </c>
      <c r="J189" s="38">
        <f>SUM($H$18:$H189)</f>
        <v>39161.47125466619</v>
      </c>
      <c r="K189" s="34"/>
      <c r="L189" s="56">
        <f t="shared" si="24"/>
        <v>0.63868570285992365</v>
      </c>
    </row>
    <row r="190" spans="1:12" x14ac:dyDescent="0.2">
      <c r="A190" s="35">
        <f t="shared" si="25"/>
        <v>173</v>
      </c>
      <c r="B190" s="36">
        <f t="shared" si="20"/>
        <v>47239</v>
      </c>
      <c r="C190" s="37">
        <f t="shared" si="26"/>
        <v>72625.407399450749</v>
      </c>
      <c r="D190" s="38">
        <f t="shared" si="29"/>
        <v>479.39572008846164</v>
      </c>
      <c r="E190" s="59">
        <f t="shared" si="21"/>
        <v>0</v>
      </c>
      <c r="F190" s="38">
        <f t="shared" si="22"/>
        <v>479.39572008846164</v>
      </c>
      <c r="G190" s="38">
        <f t="shared" si="27"/>
        <v>306.91037751476608</v>
      </c>
      <c r="H190" s="38">
        <f t="shared" si="28"/>
        <v>172.48534257369553</v>
      </c>
      <c r="I190" s="38">
        <f t="shared" si="23"/>
        <v>72318.497021935982</v>
      </c>
      <c r="J190" s="38">
        <f>SUM($H$18:$H190)</f>
        <v>39333.956597239885</v>
      </c>
      <c r="K190" s="34"/>
      <c r="L190" s="56">
        <f t="shared" si="24"/>
        <v>0.64020258140421593</v>
      </c>
    </row>
    <row r="191" spans="1:12" x14ac:dyDescent="0.2">
      <c r="A191" s="35">
        <f t="shared" si="25"/>
        <v>174</v>
      </c>
      <c r="B191" s="36">
        <f t="shared" si="20"/>
        <v>47270</v>
      </c>
      <c r="C191" s="37">
        <f t="shared" si="26"/>
        <v>72318.497021935982</v>
      </c>
      <c r="D191" s="38">
        <f t="shared" si="29"/>
        <v>479.39572008846164</v>
      </c>
      <c r="E191" s="59">
        <f t="shared" si="21"/>
        <v>0</v>
      </c>
      <c r="F191" s="38">
        <f t="shared" si="22"/>
        <v>479.39572008846164</v>
      </c>
      <c r="G191" s="38">
        <f t="shared" si="27"/>
        <v>307.6392896613637</v>
      </c>
      <c r="H191" s="38">
        <f t="shared" si="28"/>
        <v>171.75643042709797</v>
      </c>
      <c r="I191" s="38">
        <f t="shared" si="23"/>
        <v>72010.857732274613</v>
      </c>
      <c r="J191" s="38">
        <f>SUM($H$18:$H191)</f>
        <v>39505.713027666985</v>
      </c>
      <c r="L191" s="56">
        <f t="shared" si="24"/>
        <v>0.64172306253505107</v>
      </c>
    </row>
    <row r="192" spans="1:12" x14ac:dyDescent="0.2">
      <c r="A192" s="35">
        <f t="shared" si="25"/>
        <v>175</v>
      </c>
      <c r="B192" s="36">
        <f t="shared" si="20"/>
        <v>47300</v>
      </c>
      <c r="C192" s="37">
        <f t="shared" si="26"/>
        <v>72010.857732274613</v>
      </c>
      <c r="D192" s="38">
        <f t="shared" si="29"/>
        <v>479.39572008846164</v>
      </c>
      <c r="E192" s="59">
        <f t="shared" si="21"/>
        <v>0</v>
      </c>
      <c r="F192" s="38">
        <f t="shared" si="22"/>
        <v>479.39572008846164</v>
      </c>
      <c r="G192" s="38">
        <f t="shared" si="27"/>
        <v>308.36993297430945</v>
      </c>
      <c r="H192" s="38">
        <f t="shared" si="28"/>
        <v>171.02578711415219</v>
      </c>
      <c r="I192" s="38">
        <f t="shared" si="23"/>
        <v>71702.487799300303</v>
      </c>
      <c r="J192" s="38">
        <f>SUM($H$18:$H192)</f>
        <v>39676.738814781136</v>
      </c>
      <c r="L192" s="56">
        <f t="shared" si="24"/>
        <v>0.64324715480857186</v>
      </c>
    </row>
    <row r="193" spans="1:12" x14ac:dyDescent="0.2">
      <c r="A193" s="35">
        <f t="shared" si="25"/>
        <v>176</v>
      </c>
      <c r="B193" s="36">
        <f t="shared" si="20"/>
        <v>47331</v>
      </c>
      <c r="C193" s="37">
        <f t="shared" si="26"/>
        <v>71702.487799300303</v>
      </c>
      <c r="D193" s="38">
        <f t="shared" si="29"/>
        <v>479.39572008846164</v>
      </c>
      <c r="E193" s="59">
        <f t="shared" si="21"/>
        <v>0</v>
      </c>
      <c r="F193" s="38">
        <f t="shared" si="22"/>
        <v>479.39572008846164</v>
      </c>
      <c r="G193" s="38">
        <f t="shared" si="27"/>
        <v>309.10231156512339</v>
      </c>
      <c r="H193" s="38">
        <f t="shared" si="28"/>
        <v>170.29340852333823</v>
      </c>
      <c r="I193" s="38">
        <f t="shared" si="23"/>
        <v>71393.385487735184</v>
      </c>
      <c r="J193" s="38">
        <f>SUM($H$18:$H193)</f>
        <v>39847.032223304472</v>
      </c>
      <c r="L193" s="56">
        <f t="shared" si="24"/>
        <v>0.64477486680124207</v>
      </c>
    </row>
    <row r="194" spans="1:12" x14ac:dyDescent="0.2">
      <c r="A194" s="35">
        <f t="shared" si="25"/>
        <v>177</v>
      </c>
      <c r="B194" s="36">
        <f t="shared" si="20"/>
        <v>47362</v>
      </c>
      <c r="C194" s="37">
        <f t="shared" si="26"/>
        <v>71393.385487735184</v>
      </c>
      <c r="D194" s="38">
        <f t="shared" si="29"/>
        <v>479.39572008846164</v>
      </c>
      <c r="E194" s="59">
        <f t="shared" si="21"/>
        <v>0</v>
      </c>
      <c r="F194" s="38">
        <f t="shared" si="22"/>
        <v>479.39572008846164</v>
      </c>
      <c r="G194" s="38">
        <f t="shared" si="27"/>
        <v>309.8364295550906</v>
      </c>
      <c r="H194" s="38">
        <f t="shared" si="28"/>
        <v>169.55929053337107</v>
      </c>
      <c r="I194" s="38">
        <f t="shared" si="23"/>
        <v>71083.549058180099</v>
      </c>
      <c r="J194" s="38">
        <f>SUM($H$18:$H194)</f>
        <v>40016.59151383784</v>
      </c>
      <c r="L194" s="56">
        <f t="shared" si="24"/>
        <v>0.64630620710989517</v>
      </c>
    </row>
    <row r="195" spans="1:12" x14ac:dyDescent="0.2">
      <c r="A195" s="35">
        <f t="shared" si="25"/>
        <v>178</v>
      </c>
      <c r="B195" s="36">
        <f t="shared" si="20"/>
        <v>47392</v>
      </c>
      <c r="C195" s="37">
        <f t="shared" si="26"/>
        <v>71083.549058180099</v>
      </c>
      <c r="D195" s="38">
        <f t="shared" si="29"/>
        <v>479.39572008846164</v>
      </c>
      <c r="E195" s="59">
        <f t="shared" si="21"/>
        <v>0</v>
      </c>
      <c r="F195" s="38">
        <f t="shared" si="22"/>
        <v>479.39572008846164</v>
      </c>
      <c r="G195" s="38">
        <f t="shared" si="27"/>
        <v>310.57229107528394</v>
      </c>
      <c r="H195" s="38">
        <f t="shared" si="28"/>
        <v>168.82342901317773</v>
      </c>
      <c r="I195" s="38">
        <f t="shared" si="23"/>
        <v>70772.976767104818</v>
      </c>
      <c r="J195" s="38">
        <f>SUM($H$18:$H195)</f>
        <v>40185.414942851021</v>
      </c>
      <c r="L195" s="56">
        <f t="shared" si="24"/>
        <v>0.64784118435178117</v>
      </c>
    </row>
    <row r="196" spans="1:12" x14ac:dyDescent="0.2">
      <c r="A196" s="35">
        <f t="shared" si="25"/>
        <v>179</v>
      </c>
      <c r="B196" s="36">
        <f t="shared" si="20"/>
        <v>47423</v>
      </c>
      <c r="C196" s="37">
        <f t="shared" si="26"/>
        <v>70772.976767104818</v>
      </c>
      <c r="D196" s="38">
        <f t="shared" si="29"/>
        <v>479.39572008846164</v>
      </c>
      <c r="E196" s="59">
        <f t="shared" si="21"/>
        <v>0</v>
      </c>
      <c r="F196" s="38">
        <f t="shared" si="22"/>
        <v>479.39572008846164</v>
      </c>
      <c r="G196" s="38">
        <f t="shared" si="27"/>
        <v>311.3099002665877</v>
      </c>
      <c r="H196" s="38">
        <f t="shared" si="28"/>
        <v>168.08581982187394</v>
      </c>
      <c r="I196" s="38">
        <f t="shared" si="23"/>
        <v>70461.666866838234</v>
      </c>
      <c r="J196" s="38">
        <f>SUM($H$18:$H196)</f>
        <v>40353.500762672898</v>
      </c>
      <c r="L196" s="56">
        <f t="shared" si="24"/>
        <v>0.64937980716461652</v>
      </c>
    </row>
    <row r="197" spans="1:12" x14ac:dyDescent="0.2">
      <c r="A197" s="35">
        <f t="shared" si="25"/>
        <v>180</v>
      </c>
      <c r="B197" s="36">
        <f t="shared" si="20"/>
        <v>47453</v>
      </c>
      <c r="C197" s="37">
        <f t="shared" si="26"/>
        <v>70461.666866838234</v>
      </c>
      <c r="D197" s="38">
        <f t="shared" si="29"/>
        <v>479.39572008846164</v>
      </c>
      <c r="E197" s="59">
        <f t="shared" si="21"/>
        <v>0</v>
      </c>
      <c r="F197" s="38">
        <f t="shared" si="22"/>
        <v>479.39572008846164</v>
      </c>
      <c r="G197" s="38">
        <f t="shared" si="27"/>
        <v>312.04926127972084</v>
      </c>
      <c r="H197" s="38">
        <f t="shared" si="28"/>
        <v>167.34645880874081</v>
      </c>
      <c r="I197" s="38">
        <f t="shared" si="23"/>
        <v>70149.617605558509</v>
      </c>
      <c r="J197" s="38">
        <f>SUM($H$18:$H197)</f>
        <v>40520.847221481636</v>
      </c>
      <c r="K197" s="1">
        <f>J197-J185</f>
        <v>2056.5719786075497</v>
      </c>
      <c r="L197" s="56">
        <f t="shared" si="24"/>
        <v>0.65092208420663245</v>
      </c>
    </row>
    <row r="198" spans="1:12" x14ac:dyDescent="0.2">
      <c r="A198" s="35">
        <f t="shared" si="25"/>
        <v>181</v>
      </c>
      <c r="B198" s="36">
        <f t="shared" si="20"/>
        <v>47484</v>
      </c>
      <c r="C198" s="37">
        <f t="shared" si="26"/>
        <v>70149.617605558509</v>
      </c>
      <c r="D198" s="38">
        <f t="shared" si="29"/>
        <v>479.39572008846164</v>
      </c>
      <c r="E198" s="59">
        <f t="shared" si="21"/>
        <v>0</v>
      </c>
      <c r="F198" s="38">
        <f t="shared" si="22"/>
        <v>479.39572008846164</v>
      </c>
      <c r="G198" s="38">
        <f t="shared" si="27"/>
        <v>312.7903782752602</v>
      </c>
      <c r="H198" s="38">
        <f t="shared" si="28"/>
        <v>166.60534181320148</v>
      </c>
      <c r="I198" s="38">
        <f t="shared" si="23"/>
        <v>69836.827227283255</v>
      </c>
      <c r="J198" s="38">
        <f>SUM($H$18:$H198)</f>
        <v>40687.452563294835</v>
      </c>
      <c r="K198" s="34"/>
      <c r="L198" s="56">
        <f t="shared" si="24"/>
        <v>0.65246802415662331</v>
      </c>
    </row>
    <row r="199" spans="1:12" x14ac:dyDescent="0.2">
      <c r="A199" s="35">
        <f t="shared" si="25"/>
        <v>182</v>
      </c>
      <c r="B199" s="36">
        <f t="shared" si="20"/>
        <v>47515</v>
      </c>
      <c r="C199" s="37">
        <f t="shared" si="26"/>
        <v>69836.827227283255</v>
      </c>
      <c r="D199" s="38">
        <f t="shared" si="29"/>
        <v>479.39572008846164</v>
      </c>
      <c r="E199" s="59">
        <f t="shared" si="21"/>
        <v>0</v>
      </c>
      <c r="F199" s="38">
        <f t="shared" si="22"/>
        <v>479.39572008846164</v>
      </c>
      <c r="G199" s="38">
        <f t="shared" si="27"/>
        <v>313.53325542366395</v>
      </c>
      <c r="H199" s="38">
        <f t="shared" si="28"/>
        <v>165.86246466479773</v>
      </c>
      <c r="I199" s="38">
        <f t="shared" si="23"/>
        <v>69523.293971859588</v>
      </c>
      <c r="J199" s="38">
        <f>SUM($H$18:$H199)</f>
        <v>40853.31502795963</v>
      </c>
      <c r="K199" s="34"/>
      <c r="L199" s="56">
        <f t="shared" si="24"/>
        <v>0.65401763571399529</v>
      </c>
    </row>
    <row r="200" spans="1:12" x14ac:dyDescent="0.2">
      <c r="A200" s="35">
        <f t="shared" si="25"/>
        <v>183</v>
      </c>
      <c r="B200" s="36">
        <f t="shared" si="20"/>
        <v>47543</v>
      </c>
      <c r="C200" s="37">
        <f t="shared" si="26"/>
        <v>69523.293971859588</v>
      </c>
      <c r="D200" s="38">
        <f t="shared" si="29"/>
        <v>479.39572008846164</v>
      </c>
      <c r="E200" s="59">
        <f t="shared" si="21"/>
        <v>0</v>
      </c>
      <c r="F200" s="38">
        <f t="shared" si="22"/>
        <v>479.39572008846164</v>
      </c>
      <c r="G200" s="38">
        <f t="shared" si="27"/>
        <v>314.27789690529511</v>
      </c>
      <c r="H200" s="38">
        <f t="shared" si="28"/>
        <v>165.11782318316654</v>
      </c>
      <c r="I200" s="38">
        <f t="shared" si="23"/>
        <v>69209.016074954299</v>
      </c>
      <c r="J200" s="38">
        <f>SUM($H$18:$H200)</f>
        <v>41018.432851142796</v>
      </c>
      <c r="K200" s="34"/>
      <c r="L200" s="56">
        <f t="shared" si="24"/>
        <v>0.65557092759881597</v>
      </c>
    </row>
    <row r="201" spans="1:12" x14ac:dyDescent="0.2">
      <c r="A201" s="35">
        <f t="shared" si="25"/>
        <v>184</v>
      </c>
      <c r="B201" s="36">
        <f t="shared" si="20"/>
        <v>47574</v>
      </c>
      <c r="C201" s="37">
        <f t="shared" si="26"/>
        <v>69209.016074954299</v>
      </c>
      <c r="D201" s="38">
        <f t="shared" si="29"/>
        <v>479.39572008846164</v>
      </c>
      <c r="E201" s="59">
        <f t="shared" si="21"/>
        <v>0</v>
      </c>
      <c r="F201" s="38">
        <f t="shared" si="22"/>
        <v>479.39572008846164</v>
      </c>
      <c r="G201" s="38">
        <f t="shared" si="27"/>
        <v>315.02430691044515</v>
      </c>
      <c r="H201" s="38">
        <f t="shared" si="28"/>
        <v>164.37141317801647</v>
      </c>
      <c r="I201" s="38">
        <f t="shared" si="23"/>
        <v>68893.991768043852</v>
      </c>
      <c r="J201" s="38">
        <f>SUM($H$18:$H201)</f>
        <v>41182.80426432081</v>
      </c>
      <c r="K201" s="34"/>
      <c r="L201" s="56">
        <f t="shared" si="24"/>
        <v>0.65712790855186298</v>
      </c>
    </row>
    <row r="202" spans="1:12" x14ac:dyDescent="0.2">
      <c r="A202" s="35">
        <f t="shared" si="25"/>
        <v>185</v>
      </c>
      <c r="B202" s="36">
        <f t="shared" si="20"/>
        <v>47604</v>
      </c>
      <c r="C202" s="37">
        <f t="shared" si="26"/>
        <v>68893.991768043852</v>
      </c>
      <c r="D202" s="38">
        <f t="shared" si="29"/>
        <v>479.39572008846164</v>
      </c>
      <c r="E202" s="59">
        <f t="shared" si="21"/>
        <v>0</v>
      </c>
      <c r="F202" s="38">
        <f t="shared" si="22"/>
        <v>479.39572008846164</v>
      </c>
      <c r="G202" s="38">
        <f t="shared" si="27"/>
        <v>315.77248963935745</v>
      </c>
      <c r="H202" s="38">
        <f t="shared" si="28"/>
        <v>163.62323044910417</v>
      </c>
      <c r="I202" s="38">
        <f t="shared" si="23"/>
        <v>68578.219278404489</v>
      </c>
      <c r="J202" s="38">
        <f>SUM($H$18:$H202)</f>
        <v>41346.427494769916</v>
      </c>
      <c r="K202" s="34"/>
      <c r="L202" s="56">
        <f t="shared" si="24"/>
        <v>0.65868858733467373</v>
      </c>
    </row>
    <row r="203" spans="1:12" x14ac:dyDescent="0.2">
      <c r="A203" s="35">
        <f t="shared" si="25"/>
        <v>186</v>
      </c>
      <c r="B203" s="36">
        <f t="shared" si="20"/>
        <v>47635</v>
      </c>
      <c r="C203" s="37">
        <f t="shared" si="26"/>
        <v>68578.219278404489</v>
      </c>
      <c r="D203" s="38">
        <f t="shared" si="29"/>
        <v>479.39572008846164</v>
      </c>
      <c r="E203" s="59">
        <f t="shared" si="21"/>
        <v>0</v>
      </c>
      <c r="F203" s="38">
        <f t="shared" si="22"/>
        <v>479.39572008846164</v>
      </c>
      <c r="G203" s="38">
        <f t="shared" si="27"/>
        <v>316.52244930225095</v>
      </c>
      <c r="H203" s="38">
        <f t="shared" si="28"/>
        <v>162.87327078621067</v>
      </c>
      <c r="I203" s="38">
        <f t="shared" si="23"/>
        <v>68261.696829102235</v>
      </c>
      <c r="J203" s="38">
        <f>SUM($H$18:$H203)</f>
        <v>41509.300765556123</v>
      </c>
      <c r="L203" s="56">
        <f t="shared" si="24"/>
        <v>0.6602529727295936</v>
      </c>
    </row>
    <row r="204" spans="1:12" x14ac:dyDescent="0.2">
      <c r="A204" s="35">
        <f t="shared" si="25"/>
        <v>187</v>
      </c>
      <c r="B204" s="36">
        <f t="shared" si="20"/>
        <v>47665</v>
      </c>
      <c r="C204" s="37">
        <f t="shared" si="26"/>
        <v>68261.696829102235</v>
      </c>
      <c r="D204" s="38">
        <f t="shared" si="29"/>
        <v>479.39572008846164</v>
      </c>
      <c r="E204" s="59">
        <f t="shared" si="21"/>
        <v>0</v>
      </c>
      <c r="F204" s="38">
        <f t="shared" si="22"/>
        <v>479.39572008846164</v>
      </c>
      <c r="G204" s="38">
        <f t="shared" si="27"/>
        <v>317.27419011934387</v>
      </c>
      <c r="H204" s="38">
        <f t="shared" si="28"/>
        <v>162.1215299691178</v>
      </c>
      <c r="I204" s="38">
        <f t="shared" si="23"/>
        <v>67944.422638982898</v>
      </c>
      <c r="J204" s="38">
        <f>SUM($H$18:$H204)</f>
        <v>41671.422295525241</v>
      </c>
      <c r="L204" s="56">
        <f t="shared" si="24"/>
        <v>0.66182107353982655</v>
      </c>
    </row>
    <row r="205" spans="1:12" x14ac:dyDescent="0.2">
      <c r="A205" s="35">
        <f t="shared" si="25"/>
        <v>188</v>
      </c>
      <c r="B205" s="36">
        <f t="shared" si="20"/>
        <v>47696</v>
      </c>
      <c r="C205" s="37">
        <f t="shared" si="26"/>
        <v>67944.422638982898</v>
      </c>
      <c r="D205" s="38">
        <f t="shared" si="29"/>
        <v>479.39572008846164</v>
      </c>
      <c r="E205" s="59">
        <f t="shared" si="21"/>
        <v>0</v>
      </c>
      <c r="F205" s="38">
        <f t="shared" si="22"/>
        <v>479.39572008846164</v>
      </c>
      <c r="G205" s="38">
        <f t="shared" si="27"/>
        <v>318.02771632087729</v>
      </c>
      <c r="H205" s="38">
        <f t="shared" si="28"/>
        <v>161.36800376758438</v>
      </c>
      <c r="I205" s="38">
        <f t="shared" si="23"/>
        <v>67626.394922662017</v>
      </c>
      <c r="J205" s="38">
        <f>SUM($H$18:$H205)</f>
        <v>41832.790299292828</v>
      </c>
      <c r="L205" s="56">
        <f t="shared" si="24"/>
        <v>0.66339289858948358</v>
      </c>
    </row>
    <row r="206" spans="1:12" x14ac:dyDescent="0.2">
      <c r="A206" s="35">
        <f t="shared" si="25"/>
        <v>189</v>
      </c>
      <c r="B206" s="36">
        <f t="shared" si="20"/>
        <v>47727</v>
      </c>
      <c r="C206" s="37">
        <f t="shared" si="26"/>
        <v>67626.394922662017</v>
      </c>
      <c r="D206" s="38">
        <f t="shared" si="29"/>
        <v>479.39572008846164</v>
      </c>
      <c r="E206" s="59">
        <f t="shared" si="21"/>
        <v>0</v>
      </c>
      <c r="F206" s="38">
        <f t="shared" si="22"/>
        <v>479.39572008846164</v>
      </c>
      <c r="G206" s="38">
        <f t="shared" si="27"/>
        <v>318.78303214713935</v>
      </c>
      <c r="H206" s="38">
        <f t="shared" si="28"/>
        <v>160.61268794132229</v>
      </c>
      <c r="I206" s="38">
        <f t="shared" si="23"/>
        <v>67307.611890514876</v>
      </c>
      <c r="J206" s="38">
        <f>SUM($H$18:$H206)</f>
        <v>41993.402987234149</v>
      </c>
      <c r="L206" s="56">
        <f t="shared" si="24"/>
        <v>0.66496845672363358</v>
      </c>
    </row>
    <row r="207" spans="1:12" x14ac:dyDescent="0.2">
      <c r="A207" s="35">
        <f t="shared" si="25"/>
        <v>190</v>
      </c>
      <c r="B207" s="36">
        <f t="shared" si="20"/>
        <v>47757</v>
      </c>
      <c r="C207" s="37">
        <f t="shared" si="26"/>
        <v>67307.611890514876</v>
      </c>
      <c r="D207" s="38">
        <f t="shared" si="29"/>
        <v>479.39572008846164</v>
      </c>
      <c r="E207" s="59">
        <f t="shared" si="21"/>
        <v>0</v>
      </c>
      <c r="F207" s="38">
        <f t="shared" si="22"/>
        <v>479.39572008846164</v>
      </c>
      <c r="G207" s="38">
        <f t="shared" si="27"/>
        <v>319.54014184848882</v>
      </c>
      <c r="H207" s="38">
        <f t="shared" si="28"/>
        <v>159.85557823997283</v>
      </c>
      <c r="I207" s="38">
        <f t="shared" si="23"/>
        <v>66988.071748666393</v>
      </c>
      <c r="J207" s="38">
        <f>SUM($H$18:$H207)</f>
        <v>42153.25856547412</v>
      </c>
      <c r="L207" s="56">
        <f t="shared" si="24"/>
        <v>0.66654775680835221</v>
      </c>
    </row>
    <row r="208" spans="1:12" x14ac:dyDescent="0.2">
      <c r="A208" s="35">
        <f t="shared" si="25"/>
        <v>191</v>
      </c>
      <c r="B208" s="36">
        <f t="shared" si="20"/>
        <v>47788</v>
      </c>
      <c r="C208" s="37">
        <f t="shared" si="26"/>
        <v>66988.071748666393</v>
      </c>
      <c r="D208" s="38">
        <f t="shared" si="29"/>
        <v>479.39572008846164</v>
      </c>
      <c r="E208" s="59">
        <f t="shared" si="21"/>
        <v>0</v>
      </c>
      <c r="F208" s="38">
        <f t="shared" si="22"/>
        <v>479.39572008846164</v>
      </c>
      <c r="G208" s="38">
        <f t="shared" si="27"/>
        <v>320.29904968537892</v>
      </c>
      <c r="H208" s="38">
        <f t="shared" si="28"/>
        <v>159.0966704030827</v>
      </c>
      <c r="I208" s="38">
        <f t="shared" si="23"/>
        <v>66667.772698981018</v>
      </c>
      <c r="J208" s="38">
        <f>SUM($H$18:$H208)</f>
        <v>42312.355235877199</v>
      </c>
      <c r="L208" s="56">
        <f t="shared" si="24"/>
        <v>0.66813080773077194</v>
      </c>
    </row>
    <row r="209" spans="1:12" x14ac:dyDescent="0.2">
      <c r="A209" s="35">
        <f t="shared" si="25"/>
        <v>192</v>
      </c>
      <c r="B209" s="36">
        <f t="shared" si="20"/>
        <v>47818</v>
      </c>
      <c r="C209" s="37">
        <f t="shared" si="26"/>
        <v>66667.772698981018</v>
      </c>
      <c r="D209" s="38">
        <f t="shared" si="29"/>
        <v>479.39572008846164</v>
      </c>
      <c r="E209" s="59">
        <f t="shared" si="21"/>
        <v>0</v>
      </c>
      <c r="F209" s="38">
        <f t="shared" si="22"/>
        <v>479.39572008846164</v>
      </c>
      <c r="G209" s="38">
        <f t="shared" si="27"/>
        <v>321.05975992838171</v>
      </c>
      <c r="H209" s="38">
        <f t="shared" si="28"/>
        <v>158.33596016007991</v>
      </c>
      <c r="I209" s="38">
        <f t="shared" si="23"/>
        <v>66346.712939052639</v>
      </c>
      <c r="J209" s="38">
        <f>SUM($H$18:$H209)</f>
        <v>42470.691196037282</v>
      </c>
      <c r="K209" s="1">
        <f>J209-J197</f>
        <v>1949.8439745556461</v>
      </c>
      <c r="L209" s="56">
        <f t="shared" si="24"/>
        <v>0.66971761839913257</v>
      </c>
    </row>
    <row r="210" spans="1:12" x14ac:dyDescent="0.2">
      <c r="A210" s="35">
        <f t="shared" si="25"/>
        <v>193</v>
      </c>
      <c r="B210" s="36">
        <f t="shared" ref="B210:B273" si="30">IF(Pay_Num&lt;&gt;"",DATE(YEAR(Loan_Start),MONTH(Loan_Start)+(Pay_Num)*12/Num_Pmt_Per_Year,DAY(Loan_Start)),"")</f>
        <v>47849</v>
      </c>
      <c r="C210" s="37">
        <f t="shared" si="26"/>
        <v>66346.712939052639</v>
      </c>
      <c r="D210" s="38">
        <f t="shared" si="29"/>
        <v>479.39572008846164</v>
      </c>
      <c r="E210" s="59">
        <f t="shared" ref="E210:E273" si="31">IF(AND(Pay_Num&lt;&gt;"",Sched_Pay+Scheduled_Extra_Payments&lt;Beg_Bal),Scheduled_Extra_Payments,IF(AND(Pay_Num&lt;&gt;"",Beg_Bal-Sched_Pay&gt;0),Beg_Bal-Sched_Pay,IF(Pay_Num&lt;&gt;"",0,"")))</f>
        <v>0</v>
      </c>
      <c r="F210" s="38">
        <f t="shared" ref="F210:F273" si="32">IF(AND(Pay_Num&lt;&gt;"",Sched_Pay+Extra_Pay&lt;Beg_Bal),Sched_Pay+Extra_Pay,IF(Pay_Num&lt;&gt;"",Beg_Bal,""))</f>
        <v>479.39572008846164</v>
      </c>
      <c r="G210" s="38">
        <f t="shared" si="27"/>
        <v>321.82227685821158</v>
      </c>
      <c r="H210" s="38">
        <f t="shared" si="28"/>
        <v>157.57344323025004</v>
      </c>
      <c r="I210" s="38">
        <f t="shared" ref="I210:I273" si="33">IF(AND(Pay_Num&lt;&gt;"",Sched_Pay+Extra_Pay&lt;Beg_Bal),Beg_Bal-Princ,IF(Pay_Num&lt;&gt;"",0,""))</f>
        <v>66024.890662194433</v>
      </c>
      <c r="J210" s="38">
        <f>SUM($H$18:$H210)</f>
        <v>42628.264639267531</v>
      </c>
      <c r="K210" s="34"/>
      <c r="L210" s="56">
        <f t="shared" ref="L210:L273" si="34">G210/F210</f>
        <v>0.67130819774283035</v>
      </c>
    </row>
    <row r="211" spans="1:12" x14ac:dyDescent="0.2">
      <c r="A211" s="35">
        <f t="shared" ref="A211:A274" si="35">IF(Values_Entered,A210+1,"")</f>
        <v>194</v>
      </c>
      <c r="B211" s="36">
        <f t="shared" si="30"/>
        <v>47880</v>
      </c>
      <c r="C211" s="37">
        <f t="shared" ref="C211:C274" si="36">IF(Pay_Num&lt;&gt;"",I210,"")</f>
        <v>66024.890662194433</v>
      </c>
      <c r="D211" s="38">
        <f t="shared" si="29"/>
        <v>479.39572008846164</v>
      </c>
      <c r="E211" s="59">
        <f t="shared" si="31"/>
        <v>0</v>
      </c>
      <c r="F211" s="38">
        <f t="shared" si="32"/>
        <v>479.39572008846164</v>
      </c>
      <c r="G211" s="38">
        <f t="shared" ref="G211:G274" si="37">IF(Pay_Num&lt;&gt;"",Total_Pay-Int,"")</f>
        <v>322.58660476574983</v>
      </c>
      <c r="H211" s="38">
        <f t="shared" ref="H211:H274" si="38">IF(Pay_Num&lt;&gt;"",Beg_Bal*Interest_Rate/Num_Pmt_Per_Year,"")</f>
        <v>156.80911532271179</v>
      </c>
      <c r="I211" s="38">
        <f t="shared" si="33"/>
        <v>65702.304057428686</v>
      </c>
      <c r="J211" s="38">
        <f>SUM($H$18:$H211)</f>
        <v>42785.073754590245</v>
      </c>
      <c r="K211" s="34"/>
      <c r="L211" s="56">
        <f t="shared" si="34"/>
        <v>0.67290255471246962</v>
      </c>
    </row>
    <row r="212" spans="1:12" x14ac:dyDescent="0.2">
      <c r="A212" s="35">
        <f t="shared" si="35"/>
        <v>195</v>
      </c>
      <c r="B212" s="36">
        <f t="shared" si="30"/>
        <v>47908</v>
      </c>
      <c r="C212" s="37">
        <f t="shared" si="36"/>
        <v>65702.304057428686</v>
      </c>
      <c r="D212" s="38">
        <f t="shared" ref="D212:D275" si="39">IF(Pay_Num&lt;&gt;"",Scheduled_Monthly_Payment,"")</f>
        <v>479.39572008846164</v>
      </c>
      <c r="E212" s="59">
        <f t="shared" si="31"/>
        <v>0</v>
      </c>
      <c r="F212" s="38">
        <f t="shared" si="32"/>
        <v>479.39572008846164</v>
      </c>
      <c r="G212" s="38">
        <f t="shared" si="37"/>
        <v>323.35274795206851</v>
      </c>
      <c r="H212" s="38">
        <f t="shared" si="38"/>
        <v>156.04297213639313</v>
      </c>
      <c r="I212" s="38">
        <f t="shared" si="33"/>
        <v>65378.951309476615</v>
      </c>
      <c r="J212" s="38">
        <f>SUM($H$18:$H212)</f>
        <v>42941.116726726636</v>
      </c>
      <c r="K212" s="34"/>
      <c r="L212" s="56">
        <f t="shared" si="34"/>
        <v>0.67450069827991177</v>
      </c>
    </row>
    <row r="213" spans="1:12" x14ac:dyDescent="0.2">
      <c r="A213" s="35">
        <f t="shared" si="35"/>
        <v>196</v>
      </c>
      <c r="B213" s="36">
        <f t="shared" si="30"/>
        <v>47939</v>
      </c>
      <c r="C213" s="37">
        <f t="shared" si="36"/>
        <v>65378.951309476615</v>
      </c>
      <c r="D213" s="38">
        <f t="shared" si="39"/>
        <v>479.39572008846164</v>
      </c>
      <c r="E213" s="59">
        <f t="shared" si="31"/>
        <v>0</v>
      </c>
      <c r="F213" s="38">
        <f t="shared" si="32"/>
        <v>479.39572008846164</v>
      </c>
      <c r="G213" s="38">
        <f t="shared" si="37"/>
        <v>324.1207107284547</v>
      </c>
      <c r="H213" s="38">
        <f t="shared" si="38"/>
        <v>155.27500936000698</v>
      </c>
      <c r="I213" s="38">
        <f t="shared" si="33"/>
        <v>65054.830598748158</v>
      </c>
      <c r="J213" s="38">
        <f>SUM($H$18:$H213)</f>
        <v>43096.39173608664</v>
      </c>
      <c r="K213" s="34"/>
      <c r="L213" s="56">
        <f t="shared" si="34"/>
        <v>0.67610263743832666</v>
      </c>
    </row>
    <row r="214" spans="1:12" x14ac:dyDescent="0.2">
      <c r="A214" s="35">
        <f t="shared" si="35"/>
        <v>197</v>
      </c>
      <c r="B214" s="36">
        <f t="shared" si="30"/>
        <v>47969</v>
      </c>
      <c r="C214" s="37">
        <f t="shared" si="36"/>
        <v>65054.830598748158</v>
      </c>
      <c r="D214" s="38">
        <f t="shared" si="39"/>
        <v>479.39572008846164</v>
      </c>
      <c r="E214" s="59">
        <f t="shared" si="31"/>
        <v>0</v>
      </c>
      <c r="F214" s="38">
        <f t="shared" si="32"/>
        <v>479.39572008846164</v>
      </c>
      <c r="G214" s="38">
        <f t="shared" si="37"/>
        <v>324.89049741643475</v>
      </c>
      <c r="H214" s="38">
        <f t="shared" si="38"/>
        <v>154.50522267202689</v>
      </c>
      <c r="I214" s="38">
        <f t="shared" si="33"/>
        <v>64729.940101331726</v>
      </c>
      <c r="J214" s="38">
        <f>SUM($H$18:$H214)</f>
        <v>43250.896958758669</v>
      </c>
      <c r="K214" s="34"/>
      <c r="L214" s="56">
        <f t="shared" si="34"/>
        <v>0.67770838120224264</v>
      </c>
    </row>
    <row r="215" spans="1:12" x14ac:dyDescent="0.2">
      <c r="A215" s="35">
        <f t="shared" si="35"/>
        <v>198</v>
      </c>
      <c r="B215" s="36">
        <f t="shared" si="30"/>
        <v>48000</v>
      </c>
      <c r="C215" s="37">
        <f t="shared" si="36"/>
        <v>64729.940101331726</v>
      </c>
      <c r="D215" s="38">
        <f t="shared" si="39"/>
        <v>479.39572008846164</v>
      </c>
      <c r="E215" s="59">
        <f t="shared" si="31"/>
        <v>0</v>
      </c>
      <c r="F215" s="38">
        <f t="shared" si="32"/>
        <v>479.39572008846164</v>
      </c>
      <c r="G215" s="38">
        <f t="shared" si="37"/>
        <v>325.66211234779882</v>
      </c>
      <c r="H215" s="38">
        <f t="shared" si="38"/>
        <v>153.73360774066285</v>
      </c>
      <c r="I215" s="38">
        <f t="shared" si="33"/>
        <v>64404.277988983929</v>
      </c>
      <c r="J215" s="38">
        <f>SUM($H$18:$H215)</f>
        <v>43404.630566499334</v>
      </c>
      <c r="L215" s="56">
        <f t="shared" si="34"/>
        <v>0.67931793860759804</v>
      </c>
    </row>
    <row r="216" spans="1:12" x14ac:dyDescent="0.2">
      <c r="A216" s="35">
        <f t="shared" si="35"/>
        <v>199</v>
      </c>
      <c r="B216" s="36">
        <f t="shared" si="30"/>
        <v>48030</v>
      </c>
      <c r="C216" s="37">
        <f t="shared" si="36"/>
        <v>64404.277988983929</v>
      </c>
      <c r="D216" s="38">
        <f t="shared" si="39"/>
        <v>479.39572008846164</v>
      </c>
      <c r="E216" s="59">
        <f t="shared" si="31"/>
        <v>0</v>
      </c>
      <c r="F216" s="38">
        <f t="shared" si="32"/>
        <v>479.39572008846164</v>
      </c>
      <c r="G216" s="38">
        <f t="shared" si="37"/>
        <v>326.43555986462479</v>
      </c>
      <c r="H216" s="38">
        <f t="shared" si="38"/>
        <v>152.96016022383682</v>
      </c>
      <c r="I216" s="38">
        <f t="shared" si="33"/>
        <v>64077.842429119308</v>
      </c>
      <c r="J216" s="38">
        <f>SUM($H$18:$H216)</f>
        <v>43557.590726723174</v>
      </c>
      <c r="L216" s="56">
        <f t="shared" si="34"/>
        <v>0.68093131871179091</v>
      </c>
    </row>
    <row r="217" spans="1:12" x14ac:dyDescent="0.2">
      <c r="A217" s="35">
        <f t="shared" si="35"/>
        <v>200</v>
      </c>
      <c r="B217" s="36">
        <f t="shared" si="30"/>
        <v>48061</v>
      </c>
      <c r="C217" s="37">
        <f t="shared" si="36"/>
        <v>64077.842429119308</v>
      </c>
      <c r="D217" s="38">
        <f t="shared" si="39"/>
        <v>479.39572008846164</v>
      </c>
      <c r="E217" s="59">
        <f t="shared" si="31"/>
        <v>0</v>
      </c>
      <c r="F217" s="38">
        <f t="shared" si="32"/>
        <v>479.39572008846164</v>
      </c>
      <c r="G217" s="38">
        <f t="shared" si="37"/>
        <v>327.21084431930331</v>
      </c>
      <c r="H217" s="38">
        <f t="shared" si="38"/>
        <v>152.18487576915837</v>
      </c>
      <c r="I217" s="38">
        <f t="shared" si="33"/>
        <v>63750.631584800001</v>
      </c>
      <c r="J217" s="38">
        <f>SUM($H$18:$H217)</f>
        <v>43709.775602492329</v>
      </c>
      <c r="L217" s="56">
        <f t="shared" si="34"/>
        <v>0.68254853059373155</v>
      </c>
    </row>
    <row r="218" spans="1:12" x14ac:dyDescent="0.2">
      <c r="A218" s="35">
        <f t="shared" si="35"/>
        <v>201</v>
      </c>
      <c r="B218" s="36">
        <f t="shared" si="30"/>
        <v>48092</v>
      </c>
      <c r="C218" s="37">
        <f t="shared" si="36"/>
        <v>63750.631584800001</v>
      </c>
      <c r="D218" s="38">
        <f t="shared" si="39"/>
        <v>479.39572008846164</v>
      </c>
      <c r="E218" s="59">
        <f t="shared" si="31"/>
        <v>0</v>
      </c>
      <c r="F218" s="38">
        <f t="shared" si="32"/>
        <v>479.39572008846164</v>
      </c>
      <c r="G218" s="38">
        <f t="shared" si="37"/>
        <v>327.98797007456164</v>
      </c>
      <c r="H218" s="38">
        <f t="shared" si="38"/>
        <v>151.4077500139</v>
      </c>
      <c r="I218" s="38">
        <f t="shared" si="33"/>
        <v>63422.643614725443</v>
      </c>
      <c r="J218" s="38">
        <f>SUM($H$18:$H218)</f>
        <v>43861.183352506232</v>
      </c>
      <c r="L218" s="56">
        <f t="shared" si="34"/>
        <v>0.68416958335389155</v>
      </c>
    </row>
    <row r="219" spans="1:12" x14ac:dyDescent="0.2">
      <c r="A219" s="35">
        <f t="shared" si="35"/>
        <v>202</v>
      </c>
      <c r="B219" s="36">
        <f t="shared" si="30"/>
        <v>48122</v>
      </c>
      <c r="C219" s="37">
        <f t="shared" si="36"/>
        <v>63422.643614725443</v>
      </c>
      <c r="D219" s="38">
        <f t="shared" si="39"/>
        <v>479.39572008846164</v>
      </c>
      <c r="E219" s="59">
        <f t="shared" si="31"/>
        <v>0</v>
      </c>
      <c r="F219" s="38">
        <f t="shared" si="32"/>
        <v>479.39572008846164</v>
      </c>
      <c r="G219" s="38">
        <f t="shared" si="37"/>
        <v>328.76694150348874</v>
      </c>
      <c r="H219" s="38">
        <f t="shared" si="38"/>
        <v>150.62877858497293</v>
      </c>
      <c r="I219" s="38">
        <f t="shared" si="33"/>
        <v>63093.876673221952</v>
      </c>
      <c r="J219" s="38">
        <f>SUM($H$18:$H219)</f>
        <v>44011.812131091203</v>
      </c>
      <c r="L219" s="56">
        <f t="shared" si="34"/>
        <v>0.68579448611435712</v>
      </c>
    </row>
    <row r="220" spans="1:12" x14ac:dyDescent="0.2">
      <c r="A220" s="35">
        <f t="shared" si="35"/>
        <v>203</v>
      </c>
      <c r="B220" s="36">
        <f t="shared" si="30"/>
        <v>48153</v>
      </c>
      <c r="C220" s="37">
        <f t="shared" si="36"/>
        <v>63093.876673221952</v>
      </c>
      <c r="D220" s="38">
        <f t="shared" si="39"/>
        <v>479.39572008846164</v>
      </c>
      <c r="E220" s="59">
        <f t="shared" si="31"/>
        <v>0</v>
      </c>
      <c r="F220" s="38">
        <f t="shared" si="32"/>
        <v>479.39572008846164</v>
      </c>
      <c r="G220" s="38">
        <f t="shared" si="37"/>
        <v>329.54776298955949</v>
      </c>
      <c r="H220" s="38">
        <f t="shared" si="38"/>
        <v>149.84795709890213</v>
      </c>
      <c r="I220" s="38">
        <f t="shared" si="33"/>
        <v>62764.328910232391</v>
      </c>
      <c r="J220" s="38">
        <f>SUM($H$18:$H220)</f>
        <v>44161.660088190103</v>
      </c>
      <c r="L220" s="56">
        <f t="shared" si="34"/>
        <v>0.68742324801887866</v>
      </c>
    </row>
    <row r="221" spans="1:12" x14ac:dyDescent="0.2">
      <c r="A221" s="35">
        <f t="shared" si="35"/>
        <v>204</v>
      </c>
      <c r="B221" s="36">
        <f t="shared" si="30"/>
        <v>48183</v>
      </c>
      <c r="C221" s="37">
        <f t="shared" si="36"/>
        <v>62764.328910232391</v>
      </c>
      <c r="D221" s="38">
        <f t="shared" si="39"/>
        <v>479.39572008846164</v>
      </c>
      <c r="E221" s="59">
        <f t="shared" si="31"/>
        <v>0</v>
      </c>
      <c r="F221" s="38">
        <f t="shared" si="32"/>
        <v>479.39572008846164</v>
      </c>
      <c r="G221" s="38">
        <f t="shared" si="37"/>
        <v>330.33043892665967</v>
      </c>
      <c r="H221" s="38">
        <f t="shared" si="38"/>
        <v>149.06528116180195</v>
      </c>
      <c r="I221" s="38">
        <f t="shared" si="33"/>
        <v>62433.998471305727</v>
      </c>
      <c r="J221" s="38">
        <f>SUM($H$18:$H221)</f>
        <v>44310.725369351901</v>
      </c>
      <c r="K221" s="1">
        <f>J221-J209</f>
        <v>1840.0341733146197</v>
      </c>
      <c r="L221" s="56">
        <f t="shared" si="34"/>
        <v>0.68905587823292347</v>
      </c>
    </row>
    <row r="222" spans="1:12" x14ac:dyDescent="0.2">
      <c r="A222" s="35">
        <f t="shared" si="35"/>
        <v>205</v>
      </c>
      <c r="B222" s="36">
        <f t="shared" si="30"/>
        <v>48214</v>
      </c>
      <c r="C222" s="37">
        <f t="shared" si="36"/>
        <v>62433.998471305727</v>
      </c>
      <c r="D222" s="38">
        <f t="shared" si="39"/>
        <v>479.39572008846164</v>
      </c>
      <c r="E222" s="59">
        <f t="shared" si="31"/>
        <v>0</v>
      </c>
      <c r="F222" s="38">
        <f t="shared" si="32"/>
        <v>479.39572008846164</v>
      </c>
      <c r="G222" s="38">
        <f t="shared" si="37"/>
        <v>331.11497371911054</v>
      </c>
      <c r="H222" s="38">
        <f t="shared" si="38"/>
        <v>148.28074636935111</v>
      </c>
      <c r="I222" s="38">
        <f t="shared" si="33"/>
        <v>62102.883497586619</v>
      </c>
      <c r="J222" s="38">
        <f>SUM($H$18:$H222)</f>
        <v>44459.006115721255</v>
      </c>
      <c r="K222" s="34"/>
      <c r="L222" s="56">
        <f t="shared" si="34"/>
        <v>0.69069238594372673</v>
      </c>
    </row>
    <row r="223" spans="1:12" x14ac:dyDescent="0.2">
      <c r="A223" s="35">
        <f t="shared" si="35"/>
        <v>206</v>
      </c>
      <c r="B223" s="36">
        <f t="shared" si="30"/>
        <v>48245</v>
      </c>
      <c r="C223" s="37">
        <f t="shared" si="36"/>
        <v>62102.883497586619</v>
      </c>
      <c r="D223" s="38">
        <f t="shared" si="39"/>
        <v>479.39572008846164</v>
      </c>
      <c r="E223" s="59">
        <f t="shared" si="31"/>
        <v>0</v>
      </c>
      <c r="F223" s="38">
        <f t="shared" si="32"/>
        <v>479.39572008846164</v>
      </c>
      <c r="G223" s="38">
        <f t="shared" si="37"/>
        <v>331.90137178169346</v>
      </c>
      <c r="H223" s="38">
        <f t="shared" si="38"/>
        <v>147.49434830676822</v>
      </c>
      <c r="I223" s="38">
        <f t="shared" si="33"/>
        <v>61770.982125804927</v>
      </c>
      <c r="J223" s="38">
        <f>SUM($H$18:$H223)</f>
        <v>44606.500464028024</v>
      </c>
      <c r="K223" s="34"/>
      <c r="L223" s="56">
        <f t="shared" si="34"/>
        <v>0.69233278036034318</v>
      </c>
    </row>
    <row r="224" spans="1:12" x14ac:dyDescent="0.2">
      <c r="A224" s="35">
        <f t="shared" si="35"/>
        <v>207</v>
      </c>
      <c r="B224" s="36">
        <f t="shared" si="30"/>
        <v>48274</v>
      </c>
      <c r="C224" s="37">
        <f t="shared" si="36"/>
        <v>61770.982125804927</v>
      </c>
      <c r="D224" s="38">
        <f t="shared" si="39"/>
        <v>479.39572008846164</v>
      </c>
      <c r="E224" s="59">
        <f t="shared" si="31"/>
        <v>0</v>
      </c>
      <c r="F224" s="38">
        <f t="shared" si="32"/>
        <v>479.39572008846164</v>
      </c>
      <c r="G224" s="38">
        <f t="shared" si="37"/>
        <v>332.68963753967489</v>
      </c>
      <c r="H224" s="38">
        <f t="shared" si="38"/>
        <v>146.70608254878672</v>
      </c>
      <c r="I224" s="38">
        <f t="shared" si="33"/>
        <v>61438.292488265251</v>
      </c>
      <c r="J224" s="38">
        <f>SUM($H$18:$H224)</f>
        <v>44753.20654657681</v>
      </c>
      <c r="K224" s="34"/>
      <c r="L224" s="56">
        <f t="shared" si="34"/>
        <v>0.69397707071369874</v>
      </c>
    </row>
    <row r="225" spans="1:12" x14ac:dyDescent="0.2">
      <c r="A225" s="35">
        <f t="shared" si="35"/>
        <v>208</v>
      </c>
      <c r="B225" s="36">
        <f t="shared" si="30"/>
        <v>48305</v>
      </c>
      <c r="C225" s="37">
        <f t="shared" si="36"/>
        <v>61438.292488265251</v>
      </c>
      <c r="D225" s="38">
        <f t="shared" si="39"/>
        <v>479.39572008846164</v>
      </c>
      <c r="E225" s="59">
        <f t="shared" si="31"/>
        <v>0</v>
      </c>
      <c r="F225" s="38">
        <f t="shared" si="32"/>
        <v>479.39572008846164</v>
      </c>
      <c r="G225" s="38">
        <f t="shared" si="37"/>
        <v>333.47977542883166</v>
      </c>
      <c r="H225" s="38">
        <f t="shared" si="38"/>
        <v>145.91594465962999</v>
      </c>
      <c r="I225" s="38">
        <f t="shared" si="33"/>
        <v>61104.812712836421</v>
      </c>
      <c r="J225" s="38">
        <f>SUM($H$18:$H225)</f>
        <v>44899.122491236441</v>
      </c>
      <c r="K225" s="34"/>
      <c r="L225" s="56">
        <f t="shared" si="34"/>
        <v>0.69562526625664389</v>
      </c>
    </row>
    <row r="226" spans="1:12" x14ac:dyDescent="0.2">
      <c r="A226" s="35">
        <f t="shared" si="35"/>
        <v>209</v>
      </c>
      <c r="B226" s="36">
        <f t="shared" si="30"/>
        <v>48335</v>
      </c>
      <c r="C226" s="37">
        <f t="shared" si="36"/>
        <v>61104.812712836421</v>
      </c>
      <c r="D226" s="38">
        <f t="shared" si="39"/>
        <v>479.39572008846164</v>
      </c>
      <c r="E226" s="59">
        <f t="shared" si="31"/>
        <v>0</v>
      </c>
      <c r="F226" s="38">
        <f t="shared" si="32"/>
        <v>479.39572008846164</v>
      </c>
      <c r="G226" s="38">
        <f t="shared" si="37"/>
        <v>334.27178989547514</v>
      </c>
      <c r="H226" s="38">
        <f t="shared" si="38"/>
        <v>145.12393019298651</v>
      </c>
      <c r="I226" s="38">
        <f t="shared" si="33"/>
        <v>60770.540922940949</v>
      </c>
      <c r="J226" s="38">
        <f>SUM($H$18:$H226)</f>
        <v>45044.24642142943</v>
      </c>
      <c r="K226" s="34"/>
      <c r="L226" s="56">
        <f t="shared" si="34"/>
        <v>0.69727737626400343</v>
      </c>
    </row>
    <row r="227" spans="1:12" x14ac:dyDescent="0.2">
      <c r="A227" s="35">
        <f t="shared" si="35"/>
        <v>210</v>
      </c>
      <c r="B227" s="36">
        <f t="shared" si="30"/>
        <v>48366</v>
      </c>
      <c r="C227" s="37">
        <f t="shared" si="36"/>
        <v>60770.540922940949</v>
      </c>
      <c r="D227" s="38">
        <f t="shared" si="39"/>
        <v>479.39572008846164</v>
      </c>
      <c r="E227" s="59">
        <f t="shared" si="31"/>
        <v>0</v>
      </c>
      <c r="F227" s="38">
        <f t="shared" si="32"/>
        <v>479.39572008846164</v>
      </c>
      <c r="G227" s="38">
        <f t="shared" si="37"/>
        <v>335.06568539647685</v>
      </c>
      <c r="H227" s="38">
        <f t="shared" si="38"/>
        <v>144.33003469198476</v>
      </c>
      <c r="I227" s="38">
        <f t="shared" si="33"/>
        <v>60435.475237544473</v>
      </c>
      <c r="J227" s="38">
        <f>SUM($H$18:$H227)</f>
        <v>45188.576456121416</v>
      </c>
      <c r="L227" s="56">
        <f t="shared" si="34"/>
        <v>0.69893341003263032</v>
      </c>
    </row>
    <row r="228" spans="1:12" x14ac:dyDescent="0.2">
      <c r="A228" s="35">
        <f t="shared" si="35"/>
        <v>211</v>
      </c>
      <c r="B228" s="36">
        <f t="shared" si="30"/>
        <v>48396</v>
      </c>
      <c r="C228" s="37">
        <f t="shared" si="36"/>
        <v>60435.475237544473</v>
      </c>
      <c r="D228" s="38">
        <f t="shared" si="39"/>
        <v>479.39572008846164</v>
      </c>
      <c r="E228" s="59">
        <f t="shared" si="31"/>
        <v>0</v>
      </c>
      <c r="F228" s="38">
        <f t="shared" si="32"/>
        <v>479.39572008846164</v>
      </c>
      <c r="G228" s="38">
        <f t="shared" si="37"/>
        <v>335.86146639929348</v>
      </c>
      <c r="H228" s="38">
        <f t="shared" si="38"/>
        <v>143.53425368916814</v>
      </c>
      <c r="I228" s="38">
        <f t="shared" si="33"/>
        <v>60099.613771145181</v>
      </c>
      <c r="J228" s="38">
        <f>SUM($H$18:$H228)</f>
        <v>45332.110709810586</v>
      </c>
      <c r="L228" s="56">
        <f t="shared" si="34"/>
        <v>0.70059337688145784</v>
      </c>
    </row>
    <row r="229" spans="1:12" x14ac:dyDescent="0.2">
      <c r="A229" s="35">
        <f t="shared" si="35"/>
        <v>212</v>
      </c>
      <c r="B229" s="36">
        <f t="shared" si="30"/>
        <v>48427</v>
      </c>
      <c r="C229" s="37">
        <f t="shared" si="36"/>
        <v>60099.613771145181</v>
      </c>
      <c r="D229" s="38">
        <f t="shared" si="39"/>
        <v>479.39572008846164</v>
      </c>
      <c r="E229" s="59">
        <f t="shared" si="31"/>
        <v>0</v>
      </c>
      <c r="F229" s="38">
        <f t="shared" si="32"/>
        <v>479.39572008846164</v>
      </c>
      <c r="G229" s="38">
        <f t="shared" si="37"/>
        <v>336.65913738199185</v>
      </c>
      <c r="H229" s="38">
        <f t="shared" si="38"/>
        <v>142.73658270646982</v>
      </c>
      <c r="I229" s="38">
        <f t="shared" si="33"/>
        <v>59762.954633763191</v>
      </c>
      <c r="J229" s="38">
        <f>SUM($H$18:$H229)</f>
        <v>45474.847292517057</v>
      </c>
      <c r="L229" s="56">
        <f t="shared" si="34"/>
        <v>0.70225728615155136</v>
      </c>
    </row>
    <row r="230" spans="1:12" x14ac:dyDescent="0.2">
      <c r="A230" s="35">
        <f t="shared" si="35"/>
        <v>213</v>
      </c>
      <c r="B230" s="36">
        <f t="shared" si="30"/>
        <v>48458</v>
      </c>
      <c r="C230" s="37">
        <f t="shared" si="36"/>
        <v>59762.954633763191</v>
      </c>
      <c r="D230" s="38">
        <f t="shared" si="39"/>
        <v>479.39572008846164</v>
      </c>
      <c r="E230" s="59">
        <f t="shared" si="31"/>
        <v>0</v>
      </c>
      <c r="F230" s="38">
        <f t="shared" si="32"/>
        <v>479.39572008846164</v>
      </c>
      <c r="G230" s="38">
        <f t="shared" si="37"/>
        <v>337.45870283327406</v>
      </c>
      <c r="H230" s="38">
        <f t="shared" si="38"/>
        <v>141.93701725518758</v>
      </c>
      <c r="I230" s="38">
        <f t="shared" si="33"/>
        <v>59425.495930929916</v>
      </c>
      <c r="J230" s="38">
        <f>SUM($H$18:$H230)</f>
        <v>45616.784309772243</v>
      </c>
      <c r="L230" s="56">
        <f t="shared" si="34"/>
        <v>0.70392514720616128</v>
      </c>
    </row>
    <row r="231" spans="1:12" x14ac:dyDescent="0.2">
      <c r="A231" s="35">
        <f t="shared" si="35"/>
        <v>214</v>
      </c>
      <c r="B231" s="36">
        <f t="shared" si="30"/>
        <v>48488</v>
      </c>
      <c r="C231" s="37">
        <f t="shared" si="36"/>
        <v>59425.495930929916</v>
      </c>
      <c r="D231" s="38">
        <f t="shared" si="39"/>
        <v>479.39572008846164</v>
      </c>
      <c r="E231" s="59">
        <f t="shared" si="31"/>
        <v>0</v>
      </c>
      <c r="F231" s="38">
        <f t="shared" si="32"/>
        <v>479.39572008846164</v>
      </c>
      <c r="G231" s="38">
        <f t="shared" si="37"/>
        <v>338.26016725250309</v>
      </c>
      <c r="H231" s="38">
        <f t="shared" si="38"/>
        <v>141.13555283595855</v>
      </c>
      <c r="I231" s="38">
        <f t="shared" si="33"/>
        <v>59087.23576367741</v>
      </c>
      <c r="J231" s="38">
        <f>SUM($H$18:$H231)</f>
        <v>45757.9198626082</v>
      </c>
      <c r="L231" s="56">
        <f t="shared" si="34"/>
        <v>0.70559696943077599</v>
      </c>
    </row>
    <row r="232" spans="1:12" x14ac:dyDescent="0.2">
      <c r="A232" s="35">
        <f t="shared" si="35"/>
        <v>215</v>
      </c>
      <c r="B232" s="36">
        <f t="shared" si="30"/>
        <v>48519</v>
      </c>
      <c r="C232" s="37">
        <f t="shared" si="36"/>
        <v>59087.23576367741</v>
      </c>
      <c r="D232" s="38">
        <f t="shared" si="39"/>
        <v>479.39572008846164</v>
      </c>
      <c r="E232" s="59">
        <f t="shared" si="31"/>
        <v>0</v>
      </c>
      <c r="F232" s="38">
        <f t="shared" si="32"/>
        <v>479.39572008846164</v>
      </c>
      <c r="G232" s="38">
        <f t="shared" si="37"/>
        <v>339.06353514972778</v>
      </c>
      <c r="H232" s="38">
        <f t="shared" si="38"/>
        <v>140.33218493873386</v>
      </c>
      <c r="I232" s="38">
        <f t="shared" si="33"/>
        <v>58748.172228527685</v>
      </c>
      <c r="J232" s="38">
        <f>SUM($H$18:$H232)</f>
        <v>45898.252047546936</v>
      </c>
      <c r="L232" s="56">
        <f t="shared" si="34"/>
        <v>0.70727276223317403</v>
      </c>
    </row>
    <row r="233" spans="1:12" x14ac:dyDescent="0.2">
      <c r="A233" s="35">
        <f t="shared" si="35"/>
        <v>216</v>
      </c>
      <c r="B233" s="36">
        <f t="shared" si="30"/>
        <v>48549</v>
      </c>
      <c r="C233" s="37">
        <f t="shared" si="36"/>
        <v>58748.172228527685</v>
      </c>
      <c r="D233" s="38">
        <f t="shared" si="39"/>
        <v>479.39572008846164</v>
      </c>
      <c r="E233" s="59">
        <f t="shared" si="31"/>
        <v>0</v>
      </c>
      <c r="F233" s="38">
        <f t="shared" si="32"/>
        <v>479.39572008846164</v>
      </c>
      <c r="G233" s="38">
        <f t="shared" si="37"/>
        <v>339.86881104570841</v>
      </c>
      <c r="H233" s="38">
        <f t="shared" si="38"/>
        <v>139.52690904275326</v>
      </c>
      <c r="I233" s="38">
        <f t="shared" si="33"/>
        <v>58408.303417481977</v>
      </c>
      <c r="J233" s="38">
        <f>SUM($H$18:$H233)</f>
        <v>46037.778956589689</v>
      </c>
      <c r="K233" s="1">
        <f>J233-J221</f>
        <v>1727.0535872377877</v>
      </c>
      <c r="L233" s="56">
        <f t="shared" si="34"/>
        <v>0.70895253504347788</v>
      </c>
    </row>
    <row r="234" spans="1:12" x14ac:dyDescent="0.2">
      <c r="A234" s="35">
        <f t="shared" si="35"/>
        <v>217</v>
      </c>
      <c r="B234" s="36">
        <f t="shared" si="30"/>
        <v>48580</v>
      </c>
      <c r="C234" s="37">
        <f t="shared" si="36"/>
        <v>58408.303417481977</v>
      </c>
      <c r="D234" s="38">
        <f t="shared" si="39"/>
        <v>479.39572008846164</v>
      </c>
      <c r="E234" s="59">
        <f t="shared" si="31"/>
        <v>0</v>
      </c>
      <c r="F234" s="38">
        <f t="shared" si="32"/>
        <v>479.39572008846164</v>
      </c>
      <c r="G234" s="38">
        <f t="shared" si="37"/>
        <v>340.67599947194196</v>
      </c>
      <c r="H234" s="38">
        <f t="shared" si="38"/>
        <v>138.71972061651971</v>
      </c>
      <c r="I234" s="38">
        <f t="shared" si="33"/>
        <v>58067.627418010037</v>
      </c>
      <c r="J234" s="38">
        <f>SUM($H$18:$H234)</f>
        <v>46176.498677206211</v>
      </c>
      <c r="K234" s="34"/>
      <c r="L234" s="56">
        <f t="shared" si="34"/>
        <v>0.71063629731420608</v>
      </c>
    </row>
    <row r="235" spans="1:12" x14ac:dyDescent="0.2">
      <c r="A235" s="35">
        <f t="shared" si="35"/>
        <v>218</v>
      </c>
      <c r="B235" s="36">
        <f t="shared" si="30"/>
        <v>48611</v>
      </c>
      <c r="C235" s="37">
        <f t="shared" si="36"/>
        <v>58067.627418010037</v>
      </c>
      <c r="D235" s="38">
        <f t="shared" si="39"/>
        <v>479.39572008846164</v>
      </c>
      <c r="E235" s="59">
        <f t="shared" si="31"/>
        <v>0</v>
      </c>
      <c r="F235" s="38">
        <f t="shared" si="32"/>
        <v>479.39572008846164</v>
      </c>
      <c r="G235" s="38">
        <f t="shared" si="37"/>
        <v>341.48510497068776</v>
      </c>
      <c r="H235" s="38">
        <f t="shared" si="38"/>
        <v>137.91061511777386</v>
      </c>
      <c r="I235" s="38">
        <f t="shared" si="33"/>
        <v>57726.142313039352</v>
      </c>
      <c r="J235" s="38">
        <f>SUM($H$18:$H235)</f>
        <v>46314.409292323988</v>
      </c>
      <c r="K235" s="34"/>
      <c r="L235" s="56">
        <f t="shared" si="34"/>
        <v>0.71232405852032721</v>
      </c>
    </row>
    <row r="236" spans="1:12" x14ac:dyDescent="0.2">
      <c r="A236" s="35">
        <f t="shared" si="35"/>
        <v>219</v>
      </c>
      <c r="B236" s="36">
        <f t="shared" si="30"/>
        <v>48639</v>
      </c>
      <c r="C236" s="37">
        <f t="shared" si="36"/>
        <v>57726.142313039352</v>
      </c>
      <c r="D236" s="38">
        <f t="shared" si="39"/>
        <v>479.39572008846164</v>
      </c>
      <c r="E236" s="59">
        <f t="shared" si="31"/>
        <v>0</v>
      </c>
      <c r="F236" s="38">
        <f t="shared" si="32"/>
        <v>479.39572008846164</v>
      </c>
      <c r="G236" s="38">
        <f t="shared" si="37"/>
        <v>342.29613209499314</v>
      </c>
      <c r="H236" s="38">
        <f t="shared" si="38"/>
        <v>137.09958799346848</v>
      </c>
      <c r="I236" s="38">
        <f t="shared" si="33"/>
        <v>57383.846180944362</v>
      </c>
      <c r="J236" s="38">
        <f>SUM($H$18:$H236)</f>
        <v>46451.508880317459</v>
      </c>
      <c r="K236" s="34"/>
      <c r="L236" s="56">
        <f t="shared" si="34"/>
        <v>0.71401582815931297</v>
      </c>
    </row>
    <row r="237" spans="1:12" x14ac:dyDescent="0.2">
      <c r="A237" s="35">
        <f t="shared" si="35"/>
        <v>220</v>
      </c>
      <c r="B237" s="36">
        <f t="shared" si="30"/>
        <v>48670</v>
      </c>
      <c r="C237" s="37">
        <f t="shared" si="36"/>
        <v>57383.846180944362</v>
      </c>
      <c r="D237" s="38">
        <f t="shared" si="39"/>
        <v>479.39572008846164</v>
      </c>
      <c r="E237" s="59">
        <f t="shared" si="31"/>
        <v>0</v>
      </c>
      <c r="F237" s="38">
        <f t="shared" si="32"/>
        <v>479.39572008846164</v>
      </c>
      <c r="G237" s="38">
        <f t="shared" si="37"/>
        <v>343.10908540871878</v>
      </c>
      <c r="H237" s="38">
        <f t="shared" si="38"/>
        <v>136.28663467974286</v>
      </c>
      <c r="I237" s="38">
        <f t="shared" si="33"/>
        <v>57040.737095535645</v>
      </c>
      <c r="J237" s="38">
        <f>SUM($H$18:$H237)</f>
        <v>46587.795514997204</v>
      </c>
      <c r="K237" s="34"/>
      <c r="L237" s="56">
        <f t="shared" si="34"/>
        <v>0.71571161575119147</v>
      </c>
    </row>
    <row r="238" spans="1:12" x14ac:dyDescent="0.2">
      <c r="A238" s="35">
        <f t="shared" si="35"/>
        <v>221</v>
      </c>
      <c r="B238" s="36">
        <f t="shared" si="30"/>
        <v>48700</v>
      </c>
      <c r="C238" s="37">
        <f t="shared" si="36"/>
        <v>57040.737095535645</v>
      </c>
      <c r="D238" s="38">
        <f t="shared" si="39"/>
        <v>479.39572008846164</v>
      </c>
      <c r="E238" s="59">
        <f t="shared" si="31"/>
        <v>0</v>
      </c>
      <c r="F238" s="38">
        <f t="shared" si="32"/>
        <v>479.39572008846164</v>
      </c>
      <c r="G238" s="38">
        <f t="shared" si="37"/>
        <v>343.92396948656449</v>
      </c>
      <c r="H238" s="38">
        <f t="shared" si="38"/>
        <v>135.47175060189716</v>
      </c>
      <c r="I238" s="38">
        <f t="shared" si="33"/>
        <v>56696.813126049085</v>
      </c>
      <c r="J238" s="38">
        <f>SUM($H$18:$H238)</f>
        <v>46723.267265599105</v>
      </c>
      <c r="K238" s="34"/>
      <c r="L238" s="56">
        <f t="shared" si="34"/>
        <v>0.71741143083860048</v>
      </c>
    </row>
    <row r="239" spans="1:12" x14ac:dyDescent="0.2">
      <c r="A239" s="35">
        <f t="shared" si="35"/>
        <v>222</v>
      </c>
      <c r="B239" s="36">
        <f t="shared" si="30"/>
        <v>48731</v>
      </c>
      <c r="C239" s="37">
        <f t="shared" si="36"/>
        <v>56696.813126049085</v>
      </c>
      <c r="D239" s="38">
        <f t="shared" si="39"/>
        <v>479.39572008846164</v>
      </c>
      <c r="E239" s="59">
        <f t="shared" si="31"/>
        <v>0</v>
      </c>
      <c r="F239" s="38">
        <f t="shared" si="32"/>
        <v>479.39572008846164</v>
      </c>
      <c r="G239" s="38">
        <f t="shared" si="37"/>
        <v>344.74078891409511</v>
      </c>
      <c r="H239" s="38">
        <f t="shared" si="38"/>
        <v>134.65493117436657</v>
      </c>
      <c r="I239" s="38">
        <f t="shared" si="33"/>
        <v>56352.072337134989</v>
      </c>
      <c r="J239" s="38">
        <f>SUM($H$18:$H239)</f>
        <v>46857.92219677347</v>
      </c>
      <c r="L239" s="56">
        <f t="shared" si="34"/>
        <v>0.71911528298684224</v>
      </c>
    </row>
    <row r="240" spans="1:12" x14ac:dyDescent="0.2">
      <c r="A240" s="35">
        <f t="shared" si="35"/>
        <v>223</v>
      </c>
      <c r="B240" s="36">
        <f t="shared" si="30"/>
        <v>48761</v>
      </c>
      <c r="C240" s="37">
        <f t="shared" si="36"/>
        <v>56352.072337134989</v>
      </c>
      <c r="D240" s="38">
        <f t="shared" si="39"/>
        <v>479.39572008846164</v>
      </c>
      <c r="E240" s="59">
        <f t="shared" si="31"/>
        <v>0</v>
      </c>
      <c r="F240" s="38">
        <f t="shared" si="32"/>
        <v>479.39572008846164</v>
      </c>
      <c r="G240" s="38">
        <f t="shared" si="37"/>
        <v>345.55954828776601</v>
      </c>
      <c r="H240" s="38">
        <f t="shared" si="38"/>
        <v>133.83617180069561</v>
      </c>
      <c r="I240" s="38">
        <f t="shared" si="33"/>
        <v>56006.51278884722</v>
      </c>
      <c r="J240" s="38">
        <f>SUM($H$18:$H240)</f>
        <v>46991.758368574163</v>
      </c>
      <c r="L240" s="56">
        <f t="shared" si="34"/>
        <v>0.72082318178393578</v>
      </c>
    </row>
    <row r="241" spans="1:12" x14ac:dyDescent="0.2">
      <c r="A241" s="35">
        <f t="shared" si="35"/>
        <v>224</v>
      </c>
      <c r="B241" s="36">
        <f t="shared" si="30"/>
        <v>48792</v>
      </c>
      <c r="C241" s="37">
        <f t="shared" si="36"/>
        <v>56006.51278884722</v>
      </c>
      <c r="D241" s="38">
        <f t="shared" si="39"/>
        <v>479.39572008846164</v>
      </c>
      <c r="E241" s="59">
        <f t="shared" si="31"/>
        <v>0</v>
      </c>
      <c r="F241" s="38">
        <f t="shared" si="32"/>
        <v>479.39572008846164</v>
      </c>
      <c r="G241" s="38">
        <f t="shared" si="37"/>
        <v>346.38025221494945</v>
      </c>
      <c r="H241" s="38">
        <f t="shared" si="38"/>
        <v>133.01546787351216</v>
      </c>
      <c r="I241" s="38">
        <f t="shared" si="33"/>
        <v>55660.132536632271</v>
      </c>
      <c r="J241" s="38">
        <f>SUM($H$18:$H241)</f>
        <v>47124.773836447675</v>
      </c>
      <c r="L241" s="56">
        <f t="shared" si="34"/>
        <v>0.72253513684067272</v>
      </c>
    </row>
    <row r="242" spans="1:12" x14ac:dyDescent="0.2">
      <c r="A242" s="35">
        <f t="shared" si="35"/>
        <v>225</v>
      </c>
      <c r="B242" s="36">
        <f t="shared" si="30"/>
        <v>48823</v>
      </c>
      <c r="C242" s="37">
        <f t="shared" si="36"/>
        <v>55660.132536632271</v>
      </c>
      <c r="D242" s="38">
        <f t="shared" si="39"/>
        <v>479.39572008846164</v>
      </c>
      <c r="E242" s="59">
        <f t="shared" si="31"/>
        <v>0</v>
      </c>
      <c r="F242" s="38">
        <f t="shared" si="32"/>
        <v>479.39572008846164</v>
      </c>
      <c r="G242" s="38">
        <f t="shared" si="37"/>
        <v>347.20290531396</v>
      </c>
      <c r="H242" s="38">
        <f t="shared" si="38"/>
        <v>132.19281477450164</v>
      </c>
      <c r="I242" s="38">
        <f t="shared" si="33"/>
        <v>55312.929631318308</v>
      </c>
      <c r="J242" s="38">
        <f>SUM($H$18:$H242)</f>
        <v>47256.966651222174</v>
      </c>
      <c r="L242" s="56">
        <f t="shared" si="34"/>
        <v>0.7242511577906694</v>
      </c>
    </row>
    <row r="243" spans="1:12" x14ac:dyDescent="0.2">
      <c r="A243" s="35">
        <f t="shared" si="35"/>
        <v>226</v>
      </c>
      <c r="B243" s="36">
        <f t="shared" si="30"/>
        <v>48853</v>
      </c>
      <c r="C243" s="37">
        <f t="shared" si="36"/>
        <v>55312.929631318308</v>
      </c>
      <c r="D243" s="38">
        <f t="shared" si="39"/>
        <v>479.39572008846164</v>
      </c>
      <c r="E243" s="59">
        <f t="shared" si="31"/>
        <v>0</v>
      </c>
      <c r="F243" s="38">
        <f t="shared" si="32"/>
        <v>479.39572008846164</v>
      </c>
      <c r="G243" s="38">
        <f t="shared" si="37"/>
        <v>348.02751221408062</v>
      </c>
      <c r="H243" s="38">
        <f t="shared" si="38"/>
        <v>131.368207874381</v>
      </c>
      <c r="I243" s="38">
        <f t="shared" si="33"/>
        <v>54964.902119104227</v>
      </c>
      <c r="J243" s="38">
        <f>SUM($H$18:$H243)</f>
        <v>47388.334859096554</v>
      </c>
      <c r="L243" s="56">
        <f t="shared" si="34"/>
        <v>0.72597125429042209</v>
      </c>
    </row>
    <row r="244" spans="1:12" x14ac:dyDescent="0.2">
      <c r="A244" s="35">
        <f t="shared" si="35"/>
        <v>227</v>
      </c>
      <c r="B244" s="36">
        <f t="shared" si="30"/>
        <v>48884</v>
      </c>
      <c r="C244" s="37">
        <f t="shared" si="36"/>
        <v>54964.902119104227</v>
      </c>
      <c r="D244" s="38">
        <f t="shared" si="39"/>
        <v>479.39572008846164</v>
      </c>
      <c r="E244" s="59">
        <f t="shared" si="31"/>
        <v>0</v>
      </c>
      <c r="F244" s="38">
        <f t="shared" si="32"/>
        <v>479.39572008846164</v>
      </c>
      <c r="G244" s="38">
        <f t="shared" si="37"/>
        <v>348.85407755558913</v>
      </c>
      <c r="H244" s="38">
        <f t="shared" si="38"/>
        <v>130.54164253287254</v>
      </c>
      <c r="I244" s="38">
        <f t="shared" si="33"/>
        <v>54616.048041548638</v>
      </c>
      <c r="J244" s="38">
        <f>SUM($H$18:$H244)</f>
        <v>47518.876501629427</v>
      </c>
      <c r="L244" s="56">
        <f t="shared" si="34"/>
        <v>0.72769543601936204</v>
      </c>
    </row>
    <row r="245" spans="1:12" x14ac:dyDescent="0.2">
      <c r="A245" s="35">
        <f t="shared" si="35"/>
        <v>228</v>
      </c>
      <c r="B245" s="36">
        <f t="shared" si="30"/>
        <v>48914</v>
      </c>
      <c r="C245" s="37">
        <f t="shared" si="36"/>
        <v>54616.048041548638</v>
      </c>
      <c r="D245" s="38">
        <f t="shared" si="39"/>
        <v>479.39572008846164</v>
      </c>
      <c r="E245" s="59">
        <f t="shared" si="31"/>
        <v>0</v>
      </c>
      <c r="F245" s="38">
        <f t="shared" si="32"/>
        <v>479.39572008846164</v>
      </c>
      <c r="G245" s="38">
        <f t="shared" si="37"/>
        <v>349.68260598978361</v>
      </c>
      <c r="H245" s="38">
        <f t="shared" si="38"/>
        <v>129.71311409867801</v>
      </c>
      <c r="I245" s="38">
        <f t="shared" si="33"/>
        <v>54266.365435558851</v>
      </c>
      <c r="J245" s="38">
        <f>SUM($H$18:$H245)</f>
        <v>47648.589615728102</v>
      </c>
      <c r="K245" s="1">
        <f>J245-J233</f>
        <v>1610.810659138413</v>
      </c>
      <c r="L245" s="56">
        <f t="shared" si="34"/>
        <v>0.72942371267990791</v>
      </c>
    </row>
    <row r="246" spans="1:12" x14ac:dyDescent="0.2">
      <c r="A246" s="35">
        <f t="shared" si="35"/>
        <v>229</v>
      </c>
      <c r="B246" s="36">
        <f t="shared" si="30"/>
        <v>48945</v>
      </c>
      <c r="C246" s="37">
        <f t="shared" si="36"/>
        <v>54266.365435558851</v>
      </c>
      <c r="D246" s="38">
        <f t="shared" si="39"/>
        <v>479.39572008846164</v>
      </c>
      <c r="E246" s="59">
        <f t="shared" si="31"/>
        <v>0</v>
      </c>
      <c r="F246" s="38">
        <f t="shared" si="32"/>
        <v>479.39572008846164</v>
      </c>
      <c r="G246" s="38">
        <f t="shared" si="37"/>
        <v>350.51310217900937</v>
      </c>
      <c r="H246" s="38">
        <f t="shared" si="38"/>
        <v>128.88261790945228</v>
      </c>
      <c r="I246" s="38">
        <f t="shared" si="33"/>
        <v>53915.852333379844</v>
      </c>
      <c r="J246" s="38">
        <f>SUM($H$18:$H246)</f>
        <v>47777.472233637556</v>
      </c>
      <c r="K246" s="34"/>
      <c r="L246" s="56">
        <f t="shared" si="34"/>
        <v>0.73115609399752279</v>
      </c>
    </row>
    <row r="247" spans="1:12" x14ac:dyDescent="0.2">
      <c r="A247" s="35">
        <f t="shared" si="35"/>
        <v>230</v>
      </c>
      <c r="B247" s="36">
        <f t="shared" si="30"/>
        <v>48976</v>
      </c>
      <c r="C247" s="37">
        <f t="shared" si="36"/>
        <v>53915.852333379844</v>
      </c>
      <c r="D247" s="38">
        <f t="shared" si="39"/>
        <v>479.39572008846164</v>
      </c>
      <c r="E247" s="59">
        <f t="shared" si="31"/>
        <v>0</v>
      </c>
      <c r="F247" s="38">
        <f t="shared" si="32"/>
        <v>479.39572008846164</v>
      </c>
      <c r="G247" s="38">
        <f t="shared" si="37"/>
        <v>351.34557079668451</v>
      </c>
      <c r="H247" s="38">
        <f t="shared" si="38"/>
        <v>128.05014929177713</v>
      </c>
      <c r="I247" s="38">
        <f t="shared" si="33"/>
        <v>53564.506762583158</v>
      </c>
      <c r="J247" s="38">
        <f>SUM($H$18:$H247)</f>
        <v>47905.522382929332</v>
      </c>
      <c r="K247" s="34"/>
      <c r="L247" s="56">
        <f t="shared" si="34"/>
        <v>0.73289258972076687</v>
      </c>
    </row>
    <row r="248" spans="1:12" x14ac:dyDescent="0.2">
      <c r="A248" s="35">
        <f t="shared" si="35"/>
        <v>231</v>
      </c>
      <c r="B248" s="36">
        <f t="shared" si="30"/>
        <v>49004</v>
      </c>
      <c r="C248" s="37">
        <f t="shared" si="36"/>
        <v>53564.506762583158</v>
      </c>
      <c r="D248" s="38">
        <f t="shared" si="39"/>
        <v>479.39572008846164</v>
      </c>
      <c r="E248" s="59">
        <f t="shared" si="31"/>
        <v>0</v>
      </c>
      <c r="F248" s="38">
        <f t="shared" si="32"/>
        <v>479.39572008846164</v>
      </c>
      <c r="G248" s="38">
        <f t="shared" si="37"/>
        <v>352.18001652732664</v>
      </c>
      <c r="H248" s="38">
        <f t="shared" si="38"/>
        <v>127.215703561135</v>
      </c>
      <c r="I248" s="38">
        <f t="shared" si="33"/>
        <v>53212.326746055835</v>
      </c>
      <c r="J248" s="38">
        <f>SUM($H$18:$H248)</f>
        <v>48032.73808649047</v>
      </c>
      <c r="K248" s="34"/>
      <c r="L248" s="56">
        <f t="shared" si="34"/>
        <v>0.7346332096213537</v>
      </c>
    </row>
    <row r="249" spans="1:12" x14ac:dyDescent="0.2">
      <c r="A249" s="35">
        <f t="shared" si="35"/>
        <v>232</v>
      </c>
      <c r="B249" s="36">
        <f t="shared" si="30"/>
        <v>49035</v>
      </c>
      <c r="C249" s="37">
        <f t="shared" si="36"/>
        <v>53212.326746055835</v>
      </c>
      <c r="D249" s="38">
        <f t="shared" si="39"/>
        <v>479.39572008846164</v>
      </c>
      <c r="E249" s="59">
        <f t="shared" si="31"/>
        <v>0</v>
      </c>
      <c r="F249" s="38">
        <f t="shared" si="32"/>
        <v>479.39572008846164</v>
      </c>
      <c r="G249" s="38">
        <f t="shared" si="37"/>
        <v>353.01644406657903</v>
      </c>
      <c r="H249" s="38">
        <f t="shared" si="38"/>
        <v>126.37927602188262</v>
      </c>
      <c r="I249" s="38">
        <f t="shared" si="33"/>
        <v>52859.310301989259</v>
      </c>
      <c r="J249" s="38">
        <f>SUM($H$18:$H249)</f>
        <v>48159.117362512356</v>
      </c>
      <c r="K249" s="34"/>
      <c r="L249" s="56">
        <f t="shared" si="34"/>
        <v>0.73637796349420437</v>
      </c>
    </row>
    <row r="250" spans="1:12" x14ac:dyDescent="0.2">
      <c r="A250" s="35">
        <f t="shared" si="35"/>
        <v>233</v>
      </c>
      <c r="B250" s="36">
        <f t="shared" si="30"/>
        <v>49065</v>
      </c>
      <c r="C250" s="37">
        <f t="shared" si="36"/>
        <v>52859.310301989259</v>
      </c>
      <c r="D250" s="38">
        <f t="shared" si="39"/>
        <v>479.39572008846164</v>
      </c>
      <c r="E250" s="59">
        <f t="shared" si="31"/>
        <v>0</v>
      </c>
      <c r="F250" s="38">
        <f t="shared" si="32"/>
        <v>479.39572008846164</v>
      </c>
      <c r="G250" s="38">
        <f t="shared" si="37"/>
        <v>353.85485812123716</v>
      </c>
      <c r="H250" s="38">
        <f t="shared" si="38"/>
        <v>125.54086196722449</v>
      </c>
      <c r="I250" s="38">
        <f t="shared" si="33"/>
        <v>52505.455443868021</v>
      </c>
      <c r="J250" s="38">
        <f>SUM($H$18:$H250)</f>
        <v>48284.658224479579</v>
      </c>
      <c r="K250" s="34"/>
      <c r="L250" s="56">
        <f t="shared" si="34"/>
        <v>0.73812686115750314</v>
      </c>
    </row>
    <row r="251" spans="1:12" x14ac:dyDescent="0.2">
      <c r="A251" s="35">
        <f t="shared" si="35"/>
        <v>234</v>
      </c>
      <c r="B251" s="36">
        <f t="shared" si="30"/>
        <v>49096</v>
      </c>
      <c r="C251" s="37">
        <f t="shared" si="36"/>
        <v>52505.455443868021</v>
      </c>
      <c r="D251" s="38">
        <f t="shared" si="39"/>
        <v>479.39572008846164</v>
      </c>
      <c r="E251" s="59">
        <f t="shared" si="31"/>
        <v>0</v>
      </c>
      <c r="F251" s="38">
        <f t="shared" si="32"/>
        <v>479.39572008846164</v>
      </c>
      <c r="G251" s="38">
        <f t="shared" si="37"/>
        <v>354.69526340927507</v>
      </c>
      <c r="H251" s="38">
        <f t="shared" si="38"/>
        <v>124.70045667918656</v>
      </c>
      <c r="I251" s="38">
        <f t="shared" si="33"/>
        <v>52150.760180458747</v>
      </c>
      <c r="J251" s="38">
        <f>SUM($H$18:$H251)</f>
        <v>48409.358681158767</v>
      </c>
      <c r="L251" s="56">
        <f t="shared" si="34"/>
        <v>0.73987991245275209</v>
      </c>
    </row>
    <row r="252" spans="1:12" x14ac:dyDescent="0.2">
      <c r="A252" s="35">
        <f t="shared" si="35"/>
        <v>235</v>
      </c>
      <c r="B252" s="36">
        <f t="shared" si="30"/>
        <v>49126</v>
      </c>
      <c r="C252" s="37">
        <f t="shared" si="36"/>
        <v>52150.760180458747</v>
      </c>
      <c r="D252" s="38">
        <f t="shared" si="39"/>
        <v>479.39572008846164</v>
      </c>
      <c r="E252" s="59">
        <f t="shared" si="31"/>
        <v>0</v>
      </c>
      <c r="F252" s="38">
        <f t="shared" si="32"/>
        <v>479.39572008846164</v>
      </c>
      <c r="G252" s="38">
        <f t="shared" si="37"/>
        <v>355.53766465987212</v>
      </c>
      <c r="H252" s="38">
        <f t="shared" si="38"/>
        <v>123.85805542858952</v>
      </c>
      <c r="I252" s="38">
        <f t="shared" si="33"/>
        <v>51795.222515798872</v>
      </c>
      <c r="J252" s="38">
        <f>SUM($H$18:$H252)</f>
        <v>48533.216736587354</v>
      </c>
      <c r="L252" s="56">
        <f t="shared" si="34"/>
        <v>0.74163712724482744</v>
      </c>
    </row>
    <row r="253" spans="1:12" x14ac:dyDescent="0.2">
      <c r="A253" s="35">
        <f t="shared" si="35"/>
        <v>236</v>
      </c>
      <c r="B253" s="36">
        <f t="shared" si="30"/>
        <v>49157</v>
      </c>
      <c r="C253" s="37">
        <f t="shared" si="36"/>
        <v>51795.222515798872</v>
      </c>
      <c r="D253" s="38">
        <f t="shared" si="39"/>
        <v>479.39572008846164</v>
      </c>
      <c r="E253" s="59">
        <f t="shared" si="31"/>
        <v>0</v>
      </c>
      <c r="F253" s="38">
        <f t="shared" si="32"/>
        <v>479.39572008846164</v>
      </c>
      <c r="G253" s="38">
        <f t="shared" si="37"/>
        <v>356.38206661343929</v>
      </c>
      <c r="H253" s="38">
        <f t="shared" si="38"/>
        <v>123.01365347502234</v>
      </c>
      <c r="I253" s="38">
        <f t="shared" si="33"/>
        <v>51438.840449185431</v>
      </c>
      <c r="J253" s="38">
        <f>SUM($H$18:$H253)</f>
        <v>48656.230390062374</v>
      </c>
      <c r="L253" s="56">
        <f t="shared" si="34"/>
        <v>0.74339851542203383</v>
      </c>
    </row>
    <row r="254" spans="1:12" x14ac:dyDescent="0.2">
      <c r="A254" s="35">
        <f t="shared" si="35"/>
        <v>237</v>
      </c>
      <c r="B254" s="36">
        <f t="shared" si="30"/>
        <v>49188</v>
      </c>
      <c r="C254" s="37">
        <f t="shared" si="36"/>
        <v>51438.840449185431</v>
      </c>
      <c r="D254" s="38">
        <f t="shared" si="39"/>
        <v>479.39572008846164</v>
      </c>
      <c r="E254" s="59">
        <f t="shared" si="31"/>
        <v>0</v>
      </c>
      <c r="F254" s="38">
        <f t="shared" si="32"/>
        <v>479.39572008846164</v>
      </c>
      <c r="G254" s="38">
        <f t="shared" si="37"/>
        <v>357.22847402164626</v>
      </c>
      <c r="H254" s="38">
        <f t="shared" si="38"/>
        <v>122.16724606681539</v>
      </c>
      <c r="I254" s="38">
        <f t="shared" si="33"/>
        <v>51081.611975163782</v>
      </c>
      <c r="J254" s="38">
        <f>SUM($H$18:$H254)</f>
        <v>48778.397636129186</v>
      </c>
      <c r="L254" s="56">
        <f t="shared" si="34"/>
        <v>0.74516408689616132</v>
      </c>
    </row>
    <row r="255" spans="1:12" x14ac:dyDescent="0.2">
      <c r="A255" s="35">
        <f t="shared" si="35"/>
        <v>238</v>
      </c>
      <c r="B255" s="36">
        <f t="shared" si="30"/>
        <v>49218</v>
      </c>
      <c r="C255" s="37">
        <f t="shared" si="36"/>
        <v>51081.611975163782</v>
      </c>
      <c r="D255" s="38">
        <f t="shared" si="39"/>
        <v>479.39572008846164</v>
      </c>
      <c r="E255" s="59">
        <f t="shared" si="31"/>
        <v>0</v>
      </c>
      <c r="F255" s="38">
        <f t="shared" si="32"/>
        <v>479.39572008846164</v>
      </c>
      <c r="G255" s="38">
        <f t="shared" si="37"/>
        <v>358.07689164744767</v>
      </c>
      <c r="H255" s="38">
        <f t="shared" si="38"/>
        <v>121.31882844101398</v>
      </c>
      <c r="I255" s="38">
        <f t="shared" si="33"/>
        <v>50723.535083516334</v>
      </c>
      <c r="J255" s="38">
        <f>SUM($H$18:$H255)</f>
        <v>48899.7164645702</v>
      </c>
      <c r="L255" s="56">
        <f t="shared" si="34"/>
        <v>0.74693385160253967</v>
      </c>
    </row>
    <row r="256" spans="1:12" x14ac:dyDescent="0.2">
      <c r="A256" s="35">
        <f t="shared" si="35"/>
        <v>239</v>
      </c>
      <c r="B256" s="36">
        <f t="shared" si="30"/>
        <v>49249</v>
      </c>
      <c r="C256" s="37">
        <f t="shared" si="36"/>
        <v>50723.535083516334</v>
      </c>
      <c r="D256" s="38">
        <f t="shared" si="39"/>
        <v>479.39572008846164</v>
      </c>
      <c r="E256" s="59">
        <f t="shared" si="31"/>
        <v>0</v>
      </c>
      <c r="F256" s="38">
        <f t="shared" si="32"/>
        <v>479.39572008846164</v>
      </c>
      <c r="G256" s="38">
        <f t="shared" si="37"/>
        <v>358.92732426511037</v>
      </c>
      <c r="H256" s="38">
        <f t="shared" si="38"/>
        <v>120.46839582335129</v>
      </c>
      <c r="I256" s="38">
        <f t="shared" si="33"/>
        <v>50364.607759251223</v>
      </c>
      <c r="J256" s="38">
        <f>SUM($H$18:$H256)</f>
        <v>49020.18486039355</v>
      </c>
      <c r="L256" s="56">
        <f t="shared" si="34"/>
        <v>0.74870781950009579</v>
      </c>
    </row>
    <row r="257" spans="1:12" x14ac:dyDescent="0.2">
      <c r="A257" s="35">
        <f t="shared" si="35"/>
        <v>240</v>
      </c>
      <c r="B257" s="36">
        <f t="shared" si="30"/>
        <v>49279</v>
      </c>
      <c r="C257" s="37">
        <f t="shared" si="36"/>
        <v>50364.607759251223</v>
      </c>
      <c r="D257" s="38">
        <f t="shared" si="39"/>
        <v>479.39572008846164</v>
      </c>
      <c r="E257" s="59">
        <f t="shared" si="31"/>
        <v>0</v>
      </c>
      <c r="F257" s="38">
        <f t="shared" si="32"/>
        <v>479.39572008846164</v>
      </c>
      <c r="G257" s="38">
        <f t="shared" si="37"/>
        <v>359.77977666023997</v>
      </c>
      <c r="H257" s="38">
        <f t="shared" si="38"/>
        <v>119.61594342822166</v>
      </c>
      <c r="I257" s="38">
        <f t="shared" si="33"/>
        <v>50004.827982590985</v>
      </c>
      <c r="J257" s="38">
        <f>SUM($H$18:$H257)</f>
        <v>49139.800803821774</v>
      </c>
      <c r="K257" s="1">
        <f>J257-J245</f>
        <v>1491.2111880936718</v>
      </c>
      <c r="L257" s="56">
        <f t="shared" si="34"/>
        <v>0.75048600057140846</v>
      </c>
    </row>
    <row r="258" spans="1:12" x14ac:dyDescent="0.2">
      <c r="A258" s="35">
        <f t="shared" si="35"/>
        <v>241</v>
      </c>
      <c r="B258" s="36">
        <f t="shared" si="30"/>
        <v>49310</v>
      </c>
      <c r="C258" s="37">
        <f t="shared" si="36"/>
        <v>50004.827982590985</v>
      </c>
      <c r="D258" s="38">
        <f t="shared" si="39"/>
        <v>479.39572008846164</v>
      </c>
      <c r="E258" s="59">
        <f t="shared" si="31"/>
        <v>0</v>
      </c>
      <c r="F258" s="38">
        <f t="shared" si="32"/>
        <v>479.39572008846164</v>
      </c>
      <c r="G258" s="38">
        <f t="shared" si="37"/>
        <v>360.63425362980803</v>
      </c>
      <c r="H258" s="38">
        <f t="shared" si="38"/>
        <v>118.7614664586536</v>
      </c>
      <c r="I258" s="38">
        <f t="shared" si="33"/>
        <v>49644.193728961174</v>
      </c>
      <c r="J258" s="38">
        <f>SUM($H$18:$H258)</f>
        <v>49258.562270280425</v>
      </c>
      <c r="K258" s="34"/>
      <c r="L258" s="56">
        <f t="shared" si="34"/>
        <v>0.75226840482276547</v>
      </c>
    </row>
    <row r="259" spans="1:12" x14ac:dyDescent="0.2">
      <c r="A259" s="35">
        <f t="shared" si="35"/>
        <v>242</v>
      </c>
      <c r="B259" s="36">
        <f t="shared" si="30"/>
        <v>49341</v>
      </c>
      <c r="C259" s="37">
        <f t="shared" si="36"/>
        <v>49644.193728961174</v>
      </c>
      <c r="D259" s="38">
        <f t="shared" si="39"/>
        <v>479.39572008846164</v>
      </c>
      <c r="E259" s="59">
        <f t="shared" si="31"/>
        <v>0</v>
      </c>
      <c r="F259" s="38">
        <f t="shared" si="32"/>
        <v>479.39572008846164</v>
      </c>
      <c r="G259" s="38">
        <f t="shared" si="37"/>
        <v>361.49075998217887</v>
      </c>
      <c r="H259" s="38">
        <f t="shared" si="38"/>
        <v>117.90496010628279</v>
      </c>
      <c r="I259" s="38">
        <f t="shared" si="33"/>
        <v>49282.702968978992</v>
      </c>
      <c r="J259" s="38">
        <f>SUM($H$18:$H259)</f>
        <v>49376.467230386705</v>
      </c>
      <c r="K259" s="34"/>
      <c r="L259" s="56">
        <f t="shared" si="34"/>
        <v>0.7540550422842196</v>
      </c>
    </row>
    <row r="260" spans="1:12" x14ac:dyDescent="0.2">
      <c r="A260" s="35">
        <f t="shared" si="35"/>
        <v>243</v>
      </c>
      <c r="B260" s="36">
        <f t="shared" si="30"/>
        <v>49369</v>
      </c>
      <c r="C260" s="37">
        <f t="shared" si="36"/>
        <v>49282.702968978992</v>
      </c>
      <c r="D260" s="38">
        <f t="shared" si="39"/>
        <v>479.39572008846164</v>
      </c>
      <c r="E260" s="59">
        <f t="shared" si="31"/>
        <v>0</v>
      </c>
      <c r="F260" s="38">
        <f t="shared" si="32"/>
        <v>479.39572008846164</v>
      </c>
      <c r="G260" s="38">
        <f t="shared" si="37"/>
        <v>362.34930053713651</v>
      </c>
      <c r="H260" s="38">
        <f t="shared" si="38"/>
        <v>117.04641955132512</v>
      </c>
      <c r="I260" s="38">
        <f t="shared" si="33"/>
        <v>48920.353668441858</v>
      </c>
      <c r="J260" s="38">
        <f>SUM($H$18:$H260)</f>
        <v>49493.513649938031</v>
      </c>
      <c r="K260" s="34"/>
      <c r="L260" s="56">
        <f t="shared" si="34"/>
        <v>0.75584592300964459</v>
      </c>
    </row>
    <row r="261" spans="1:12" x14ac:dyDescent="0.2">
      <c r="A261" s="35">
        <f t="shared" si="35"/>
        <v>244</v>
      </c>
      <c r="B261" s="36">
        <f t="shared" si="30"/>
        <v>49400</v>
      </c>
      <c r="C261" s="37">
        <f t="shared" si="36"/>
        <v>48920.353668441858</v>
      </c>
      <c r="D261" s="38">
        <f t="shared" si="39"/>
        <v>479.39572008846164</v>
      </c>
      <c r="E261" s="59">
        <f t="shared" si="31"/>
        <v>0</v>
      </c>
      <c r="F261" s="38">
        <f t="shared" si="32"/>
        <v>479.39572008846164</v>
      </c>
      <c r="G261" s="38">
        <f t="shared" si="37"/>
        <v>363.20988012591221</v>
      </c>
      <c r="H261" s="38">
        <f t="shared" si="38"/>
        <v>116.18583996254942</v>
      </c>
      <c r="I261" s="38">
        <f t="shared" si="33"/>
        <v>48557.143788315945</v>
      </c>
      <c r="J261" s="38">
        <f>SUM($H$18:$H261)</f>
        <v>49609.69948990058</v>
      </c>
      <c r="K261" s="34"/>
      <c r="L261" s="56">
        <f t="shared" si="34"/>
        <v>0.75764105707679252</v>
      </c>
    </row>
    <row r="262" spans="1:12" x14ac:dyDescent="0.2">
      <c r="A262" s="35">
        <f t="shared" si="35"/>
        <v>245</v>
      </c>
      <c r="B262" s="36">
        <f t="shared" si="30"/>
        <v>49430</v>
      </c>
      <c r="C262" s="37">
        <f t="shared" si="36"/>
        <v>48557.143788315945</v>
      </c>
      <c r="D262" s="38">
        <f t="shared" si="39"/>
        <v>479.39572008846164</v>
      </c>
      <c r="E262" s="59">
        <f t="shared" si="31"/>
        <v>0</v>
      </c>
      <c r="F262" s="38">
        <f t="shared" si="32"/>
        <v>479.39572008846164</v>
      </c>
      <c r="G262" s="38">
        <f t="shared" si="37"/>
        <v>364.07250359121127</v>
      </c>
      <c r="H262" s="38">
        <f t="shared" si="38"/>
        <v>115.32321649725037</v>
      </c>
      <c r="I262" s="38">
        <f t="shared" si="33"/>
        <v>48193.071284724734</v>
      </c>
      <c r="J262" s="38">
        <f>SUM($H$18:$H262)</f>
        <v>49725.022706397831</v>
      </c>
      <c r="K262" s="34"/>
      <c r="L262" s="56">
        <f t="shared" si="34"/>
        <v>0.75944045458734988</v>
      </c>
    </row>
    <row r="263" spans="1:12" x14ac:dyDescent="0.2">
      <c r="A263" s="35">
        <f t="shared" si="35"/>
        <v>246</v>
      </c>
      <c r="B263" s="36">
        <f t="shared" si="30"/>
        <v>49461</v>
      </c>
      <c r="C263" s="37">
        <f t="shared" si="36"/>
        <v>48193.071284724734</v>
      </c>
      <c r="D263" s="38">
        <f t="shared" si="39"/>
        <v>479.39572008846164</v>
      </c>
      <c r="E263" s="59">
        <f t="shared" si="31"/>
        <v>0</v>
      </c>
      <c r="F263" s="38">
        <f t="shared" si="32"/>
        <v>479.39572008846164</v>
      </c>
      <c r="G263" s="38">
        <f t="shared" si="37"/>
        <v>364.93717578724039</v>
      </c>
      <c r="H263" s="38">
        <f t="shared" si="38"/>
        <v>114.45854430122125</v>
      </c>
      <c r="I263" s="38">
        <f t="shared" si="33"/>
        <v>47828.134108937491</v>
      </c>
      <c r="J263" s="38">
        <f>SUM($H$18:$H263)</f>
        <v>49839.481250699049</v>
      </c>
      <c r="L263" s="56">
        <f t="shared" si="34"/>
        <v>0.76124412566699484</v>
      </c>
    </row>
    <row r="264" spans="1:12" x14ac:dyDescent="0.2">
      <c r="A264" s="35">
        <f t="shared" si="35"/>
        <v>247</v>
      </c>
      <c r="B264" s="36">
        <f t="shared" si="30"/>
        <v>49491</v>
      </c>
      <c r="C264" s="37">
        <f t="shared" si="36"/>
        <v>47828.134108937491</v>
      </c>
      <c r="D264" s="38">
        <f t="shared" si="39"/>
        <v>479.39572008846164</v>
      </c>
      <c r="E264" s="59">
        <f t="shared" si="31"/>
        <v>0</v>
      </c>
      <c r="F264" s="38">
        <f t="shared" si="32"/>
        <v>479.39572008846164</v>
      </c>
      <c r="G264" s="38">
        <f t="shared" si="37"/>
        <v>365.80390157973511</v>
      </c>
      <c r="H264" s="38">
        <f t="shared" si="38"/>
        <v>113.59181850872655</v>
      </c>
      <c r="I264" s="38">
        <f t="shared" si="33"/>
        <v>47462.330207357758</v>
      </c>
      <c r="J264" s="38">
        <f>SUM($H$18:$H264)</f>
        <v>49953.073069207778</v>
      </c>
      <c r="L264" s="56">
        <f t="shared" si="34"/>
        <v>0.76305208046545403</v>
      </c>
    </row>
    <row r="265" spans="1:12" x14ac:dyDescent="0.2">
      <c r="A265" s="35">
        <f t="shared" si="35"/>
        <v>248</v>
      </c>
      <c r="B265" s="36">
        <f t="shared" si="30"/>
        <v>49522</v>
      </c>
      <c r="C265" s="37">
        <f t="shared" si="36"/>
        <v>47462.330207357758</v>
      </c>
      <c r="D265" s="38">
        <f t="shared" si="39"/>
        <v>479.39572008846164</v>
      </c>
      <c r="E265" s="59">
        <f t="shared" si="31"/>
        <v>0</v>
      </c>
      <c r="F265" s="38">
        <f t="shared" si="32"/>
        <v>479.39572008846164</v>
      </c>
      <c r="G265" s="38">
        <f t="shared" si="37"/>
        <v>366.67268584598696</v>
      </c>
      <c r="H265" s="38">
        <f t="shared" si="38"/>
        <v>112.72303424247468</v>
      </c>
      <c r="I265" s="38">
        <f t="shared" si="33"/>
        <v>47095.65752151177</v>
      </c>
      <c r="J265" s="38">
        <f>SUM($H$18:$H265)</f>
        <v>50065.796103450251</v>
      </c>
      <c r="L265" s="56">
        <f t="shared" si="34"/>
        <v>0.76486432915655944</v>
      </c>
    </row>
    <row r="266" spans="1:12" x14ac:dyDescent="0.2">
      <c r="A266" s="35">
        <f t="shared" si="35"/>
        <v>249</v>
      </c>
      <c r="B266" s="36">
        <f t="shared" si="30"/>
        <v>49553</v>
      </c>
      <c r="C266" s="37">
        <f t="shared" si="36"/>
        <v>47095.65752151177</v>
      </c>
      <c r="D266" s="38">
        <f t="shared" si="39"/>
        <v>479.39572008846164</v>
      </c>
      <c r="E266" s="59">
        <f t="shared" si="31"/>
        <v>0</v>
      </c>
      <c r="F266" s="38">
        <f t="shared" si="32"/>
        <v>479.39572008846164</v>
      </c>
      <c r="G266" s="38">
        <f t="shared" si="37"/>
        <v>367.5435334748712</v>
      </c>
      <c r="H266" s="38">
        <f t="shared" si="38"/>
        <v>111.85218661359046</v>
      </c>
      <c r="I266" s="38">
        <f t="shared" si="33"/>
        <v>46728.113988036901</v>
      </c>
      <c r="J266" s="38">
        <f>SUM($H$18:$H266)</f>
        <v>50177.648290063844</v>
      </c>
      <c r="L266" s="56">
        <f t="shared" si="34"/>
        <v>0.7666808819383063</v>
      </c>
    </row>
    <row r="267" spans="1:12" x14ac:dyDescent="0.2">
      <c r="A267" s="35">
        <f t="shared" si="35"/>
        <v>250</v>
      </c>
      <c r="B267" s="36">
        <f t="shared" si="30"/>
        <v>49583</v>
      </c>
      <c r="C267" s="37">
        <f t="shared" si="36"/>
        <v>46728.113988036901</v>
      </c>
      <c r="D267" s="38">
        <f t="shared" si="39"/>
        <v>479.39572008846164</v>
      </c>
      <c r="E267" s="59">
        <f t="shared" si="31"/>
        <v>0</v>
      </c>
      <c r="F267" s="38">
        <f t="shared" si="32"/>
        <v>479.39572008846164</v>
      </c>
      <c r="G267" s="38">
        <f t="shared" si="37"/>
        <v>368.41644936687402</v>
      </c>
      <c r="H267" s="38">
        <f t="shared" si="38"/>
        <v>110.97927072158764</v>
      </c>
      <c r="I267" s="38">
        <f t="shared" si="33"/>
        <v>46359.697538670029</v>
      </c>
      <c r="J267" s="38">
        <f>SUM($H$18:$H267)</f>
        <v>50288.627560785433</v>
      </c>
      <c r="L267" s="56">
        <f t="shared" si="34"/>
        <v>0.7685017490329098</v>
      </c>
    </row>
    <row r="268" spans="1:12" x14ac:dyDescent="0.2">
      <c r="A268" s="35">
        <f t="shared" si="35"/>
        <v>251</v>
      </c>
      <c r="B268" s="36">
        <f t="shared" si="30"/>
        <v>49614</v>
      </c>
      <c r="C268" s="37">
        <f t="shared" si="36"/>
        <v>46359.697538670029</v>
      </c>
      <c r="D268" s="38">
        <f t="shared" si="39"/>
        <v>479.39572008846164</v>
      </c>
      <c r="E268" s="59">
        <f t="shared" si="31"/>
        <v>0</v>
      </c>
      <c r="F268" s="38">
        <f t="shared" si="32"/>
        <v>479.39572008846164</v>
      </c>
      <c r="G268" s="38">
        <f t="shared" si="37"/>
        <v>369.29143843412032</v>
      </c>
      <c r="H268" s="38">
        <f t="shared" si="38"/>
        <v>110.10428165434132</v>
      </c>
      <c r="I268" s="38">
        <f t="shared" si="33"/>
        <v>45990.406100235909</v>
      </c>
      <c r="J268" s="38">
        <f>SUM($H$18:$H268)</f>
        <v>50398.731842439774</v>
      </c>
      <c r="L268" s="56">
        <f t="shared" si="34"/>
        <v>0.77032694068686292</v>
      </c>
    </row>
    <row r="269" spans="1:12" x14ac:dyDescent="0.2">
      <c r="A269" s="35">
        <f t="shared" si="35"/>
        <v>252</v>
      </c>
      <c r="B269" s="36">
        <f t="shared" si="30"/>
        <v>49644</v>
      </c>
      <c r="C269" s="37">
        <f t="shared" si="36"/>
        <v>45990.406100235909</v>
      </c>
      <c r="D269" s="38">
        <f t="shared" si="39"/>
        <v>479.39572008846164</v>
      </c>
      <c r="E269" s="59">
        <f t="shared" si="31"/>
        <v>0</v>
      </c>
      <c r="F269" s="38">
        <f t="shared" si="32"/>
        <v>479.39572008846164</v>
      </c>
      <c r="G269" s="38">
        <f t="shared" si="37"/>
        <v>370.16850560040137</v>
      </c>
      <c r="H269" s="38">
        <f t="shared" si="38"/>
        <v>109.22721448806028</v>
      </c>
      <c r="I269" s="38">
        <f t="shared" si="33"/>
        <v>45620.23759463551</v>
      </c>
      <c r="J269" s="38">
        <f>SUM($H$18:$H269)</f>
        <v>50507.959056927837</v>
      </c>
      <c r="K269" s="1">
        <f>J269-J257</f>
        <v>1368.1582531060631</v>
      </c>
      <c r="L269" s="56">
        <f t="shared" si="34"/>
        <v>0.77215646717099429</v>
      </c>
    </row>
    <row r="270" spans="1:12" x14ac:dyDescent="0.2">
      <c r="A270" s="35">
        <f t="shared" si="35"/>
        <v>253</v>
      </c>
      <c r="B270" s="36">
        <f t="shared" si="30"/>
        <v>49675</v>
      </c>
      <c r="C270" s="37">
        <f t="shared" si="36"/>
        <v>45620.23759463551</v>
      </c>
      <c r="D270" s="38">
        <f t="shared" si="39"/>
        <v>479.39572008846164</v>
      </c>
      <c r="E270" s="59">
        <f t="shared" si="31"/>
        <v>0</v>
      </c>
      <c r="F270" s="38">
        <f t="shared" si="32"/>
        <v>479.39572008846164</v>
      </c>
      <c r="G270" s="38">
        <f t="shared" si="37"/>
        <v>371.04765580120232</v>
      </c>
      <c r="H270" s="38">
        <f t="shared" si="38"/>
        <v>108.34806428725933</v>
      </c>
      <c r="I270" s="38">
        <f t="shared" si="33"/>
        <v>45249.189938834308</v>
      </c>
      <c r="J270" s="38">
        <f>SUM($H$18:$H270)</f>
        <v>50616.307121215097</v>
      </c>
      <c r="K270" s="34"/>
      <c r="L270" s="56">
        <f t="shared" si="34"/>
        <v>0.77399033878052537</v>
      </c>
    </row>
    <row r="271" spans="1:12" x14ac:dyDescent="0.2">
      <c r="A271" s="35">
        <f t="shared" si="35"/>
        <v>254</v>
      </c>
      <c r="B271" s="36">
        <f t="shared" si="30"/>
        <v>49706</v>
      </c>
      <c r="C271" s="37">
        <f t="shared" si="36"/>
        <v>45249.189938834308</v>
      </c>
      <c r="D271" s="38">
        <f t="shared" si="39"/>
        <v>479.39572008846164</v>
      </c>
      <c r="E271" s="59">
        <f t="shared" si="31"/>
        <v>0</v>
      </c>
      <c r="F271" s="38">
        <f t="shared" si="32"/>
        <v>479.39572008846164</v>
      </c>
      <c r="G271" s="38">
        <f t="shared" si="37"/>
        <v>371.92889398373018</v>
      </c>
      <c r="H271" s="38">
        <f t="shared" si="38"/>
        <v>107.46682610473148</v>
      </c>
      <c r="I271" s="38">
        <f t="shared" si="33"/>
        <v>44877.26104485058</v>
      </c>
      <c r="J271" s="38">
        <f>SUM($H$18:$H271)</f>
        <v>50723.773947319831</v>
      </c>
      <c r="K271" s="34"/>
      <c r="L271" s="56">
        <f t="shared" si="34"/>
        <v>0.77582856583512905</v>
      </c>
    </row>
    <row r="272" spans="1:12" x14ac:dyDescent="0.2">
      <c r="A272" s="35">
        <f t="shared" si="35"/>
        <v>255</v>
      </c>
      <c r="B272" s="36">
        <f t="shared" si="30"/>
        <v>49735</v>
      </c>
      <c r="C272" s="37">
        <f t="shared" si="36"/>
        <v>44877.26104485058</v>
      </c>
      <c r="D272" s="38">
        <f t="shared" si="39"/>
        <v>479.39572008846164</v>
      </c>
      <c r="E272" s="59">
        <f t="shared" si="31"/>
        <v>0</v>
      </c>
      <c r="F272" s="38">
        <f t="shared" si="32"/>
        <v>479.39572008846164</v>
      </c>
      <c r="G272" s="38">
        <f t="shared" si="37"/>
        <v>372.81222510694153</v>
      </c>
      <c r="H272" s="38">
        <f t="shared" si="38"/>
        <v>106.58349498152013</v>
      </c>
      <c r="I272" s="38">
        <f t="shared" si="33"/>
        <v>44504.448819743637</v>
      </c>
      <c r="J272" s="38">
        <f>SUM($H$18:$H272)</f>
        <v>50830.357442301349</v>
      </c>
      <c r="K272" s="34"/>
      <c r="L272" s="56">
        <f t="shared" si="34"/>
        <v>0.77767115867898751</v>
      </c>
    </row>
    <row r="273" spans="1:12" x14ac:dyDescent="0.2">
      <c r="A273" s="35">
        <f t="shared" si="35"/>
        <v>256</v>
      </c>
      <c r="B273" s="36">
        <f t="shared" si="30"/>
        <v>49766</v>
      </c>
      <c r="C273" s="37">
        <f t="shared" si="36"/>
        <v>44504.448819743637</v>
      </c>
      <c r="D273" s="38">
        <f t="shared" si="39"/>
        <v>479.39572008846164</v>
      </c>
      <c r="E273" s="59">
        <f t="shared" si="31"/>
        <v>0</v>
      </c>
      <c r="F273" s="38">
        <f t="shared" si="32"/>
        <v>479.39572008846164</v>
      </c>
      <c r="G273" s="38">
        <f t="shared" si="37"/>
        <v>373.69765414157052</v>
      </c>
      <c r="H273" s="38">
        <f t="shared" si="38"/>
        <v>105.69806594689113</v>
      </c>
      <c r="I273" s="38">
        <f t="shared" si="33"/>
        <v>44130.751165602065</v>
      </c>
      <c r="J273" s="38">
        <f>SUM($H$18:$H273)</f>
        <v>50936.055508248239</v>
      </c>
      <c r="K273" s="34"/>
      <c r="L273" s="56">
        <f t="shared" si="34"/>
        <v>0.77951812768085016</v>
      </c>
    </row>
    <row r="274" spans="1:12" x14ac:dyDescent="0.2">
      <c r="A274" s="35">
        <f t="shared" si="35"/>
        <v>257</v>
      </c>
      <c r="B274" s="36">
        <f t="shared" ref="B274:B337" si="40">IF(Pay_Num&lt;&gt;"",DATE(YEAR(Loan_Start),MONTH(Loan_Start)+(Pay_Num)*12/Num_Pmt_Per_Year,DAY(Loan_Start)),"")</f>
        <v>49796</v>
      </c>
      <c r="C274" s="37">
        <f t="shared" si="36"/>
        <v>44130.751165602065</v>
      </c>
      <c r="D274" s="38">
        <f t="shared" si="39"/>
        <v>479.39572008846164</v>
      </c>
      <c r="E274" s="59">
        <f t="shared" ref="E274:E337" si="41">IF(AND(Pay_Num&lt;&gt;"",Sched_Pay+Scheduled_Extra_Payments&lt;Beg_Bal),Scheduled_Extra_Payments,IF(AND(Pay_Num&lt;&gt;"",Beg_Bal-Sched_Pay&gt;0),Beg_Bal-Sched_Pay,IF(Pay_Num&lt;&gt;"",0,"")))</f>
        <v>0</v>
      </c>
      <c r="F274" s="38">
        <f t="shared" ref="F274:F337" si="42">IF(AND(Pay_Num&lt;&gt;"",Sched_Pay+Extra_Pay&lt;Beg_Bal),Sched_Pay+Extra_Pay,IF(Pay_Num&lt;&gt;"",Beg_Bal,""))</f>
        <v>479.39572008846164</v>
      </c>
      <c r="G274" s="38">
        <f t="shared" si="37"/>
        <v>374.58518607015674</v>
      </c>
      <c r="H274" s="38">
        <f t="shared" si="38"/>
        <v>104.81053401830491</v>
      </c>
      <c r="I274" s="38">
        <f t="shared" ref="I274:I337" si="43">IF(AND(Pay_Num&lt;&gt;"",Sched_Pay+Extra_Pay&lt;Beg_Bal),Beg_Bal-Princ,IF(Pay_Num&lt;&gt;"",0,""))</f>
        <v>43756.165979531906</v>
      </c>
      <c r="J274" s="38">
        <f>SUM($H$18:$H274)</f>
        <v>51040.866042266542</v>
      </c>
      <c r="K274" s="34"/>
      <c r="L274" s="56">
        <f t="shared" ref="L274:L337" si="44">G274/F274</f>
        <v>0.78136948323409205</v>
      </c>
    </row>
    <row r="275" spans="1:12" x14ac:dyDescent="0.2">
      <c r="A275" s="35">
        <f t="shared" ref="A275:A338" si="45">IF(Values_Entered,A274+1,"")</f>
        <v>258</v>
      </c>
      <c r="B275" s="36">
        <f t="shared" si="40"/>
        <v>49827</v>
      </c>
      <c r="C275" s="37">
        <f t="shared" ref="C275:C338" si="46">IF(Pay_Num&lt;&gt;"",I274,"")</f>
        <v>43756.165979531906</v>
      </c>
      <c r="D275" s="38">
        <f t="shared" si="39"/>
        <v>479.39572008846164</v>
      </c>
      <c r="E275" s="59">
        <f t="shared" si="41"/>
        <v>0</v>
      </c>
      <c r="F275" s="38">
        <f t="shared" si="42"/>
        <v>479.39572008846164</v>
      </c>
      <c r="G275" s="38">
        <f t="shared" ref="G275:G338" si="47">IF(Pay_Num&lt;&gt;"",Total_Pay-Int,"")</f>
        <v>375.47482588707334</v>
      </c>
      <c r="H275" s="38">
        <f t="shared" ref="H275:H338" si="48">IF(Pay_Num&lt;&gt;"",Beg_Bal*Interest_Rate/Num_Pmt_Per_Year,"")</f>
        <v>103.92089420138829</v>
      </c>
      <c r="I275" s="38">
        <f t="shared" si="43"/>
        <v>43380.691153644832</v>
      </c>
      <c r="J275" s="38">
        <f>SUM($H$18:$H275)</f>
        <v>51144.786936467928</v>
      </c>
      <c r="L275" s="56">
        <f t="shared" si="44"/>
        <v>0.78322523575677305</v>
      </c>
    </row>
    <row r="276" spans="1:12" x14ac:dyDescent="0.2">
      <c r="A276" s="35">
        <f t="shared" si="45"/>
        <v>259</v>
      </c>
      <c r="B276" s="36">
        <f t="shared" si="40"/>
        <v>49857</v>
      </c>
      <c r="C276" s="37">
        <f t="shared" si="46"/>
        <v>43380.691153644832</v>
      </c>
      <c r="D276" s="38">
        <f t="shared" ref="D276:D339" si="49">IF(Pay_Num&lt;&gt;"",Scheduled_Monthly_Payment,"")</f>
        <v>479.39572008846164</v>
      </c>
      <c r="E276" s="59">
        <f t="shared" si="41"/>
        <v>0</v>
      </c>
      <c r="F276" s="38">
        <f t="shared" si="42"/>
        <v>479.39572008846164</v>
      </c>
      <c r="G276" s="38">
        <f t="shared" si="47"/>
        <v>376.36657859855518</v>
      </c>
      <c r="H276" s="38">
        <f t="shared" si="48"/>
        <v>103.02914148990648</v>
      </c>
      <c r="I276" s="38">
        <f t="shared" si="43"/>
        <v>43004.324575046274</v>
      </c>
      <c r="J276" s="38">
        <f>SUM($H$18:$H276)</f>
        <v>51247.816077957832</v>
      </c>
      <c r="L276" s="56">
        <f t="shared" si="44"/>
        <v>0.78508539569169544</v>
      </c>
    </row>
    <row r="277" spans="1:12" x14ac:dyDescent="0.2">
      <c r="A277" s="35">
        <f t="shared" si="45"/>
        <v>260</v>
      </c>
      <c r="B277" s="36">
        <f t="shared" si="40"/>
        <v>49888</v>
      </c>
      <c r="C277" s="37">
        <f t="shared" si="46"/>
        <v>43004.324575046274</v>
      </c>
      <c r="D277" s="38">
        <f t="shared" si="49"/>
        <v>479.39572008846164</v>
      </c>
      <c r="E277" s="59">
        <f t="shared" si="41"/>
        <v>0</v>
      </c>
      <c r="F277" s="38">
        <f t="shared" si="42"/>
        <v>479.39572008846164</v>
      </c>
      <c r="G277" s="38">
        <f t="shared" si="47"/>
        <v>377.26044922272672</v>
      </c>
      <c r="H277" s="38">
        <f t="shared" si="48"/>
        <v>102.13527086573491</v>
      </c>
      <c r="I277" s="38">
        <f t="shared" si="43"/>
        <v>42627.064125823548</v>
      </c>
      <c r="J277" s="38">
        <f>SUM($H$18:$H277)</f>
        <v>51349.951348823568</v>
      </c>
      <c r="L277" s="56">
        <f t="shared" si="44"/>
        <v>0.78694997350646312</v>
      </c>
    </row>
    <row r="278" spans="1:12" x14ac:dyDescent="0.2">
      <c r="A278" s="35">
        <f t="shared" si="45"/>
        <v>261</v>
      </c>
      <c r="B278" s="36">
        <f t="shared" si="40"/>
        <v>49919</v>
      </c>
      <c r="C278" s="37">
        <f t="shared" si="46"/>
        <v>42627.064125823548</v>
      </c>
      <c r="D278" s="38">
        <f t="shared" si="49"/>
        <v>479.39572008846164</v>
      </c>
      <c r="E278" s="59">
        <f t="shared" si="41"/>
        <v>0</v>
      </c>
      <c r="F278" s="38">
        <f t="shared" si="42"/>
        <v>479.39572008846164</v>
      </c>
      <c r="G278" s="38">
        <f t="shared" si="47"/>
        <v>378.15644278963072</v>
      </c>
      <c r="H278" s="38">
        <f t="shared" si="48"/>
        <v>101.23927729883093</v>
      </c>
      <c r="I278" s="38">
        <f t="shared" si="43"/>
        <v>42248.907683033918</v>
      </c>
      <c r="J278" s="38">
        <f>SUM($H$18:$H278)</f>
        <v>51451.190626122399</v>
      </c>
      <c r="L278" s="56">
        <f t="shared" si="44"/>
        <v>0.78881897969354109</v>
      </c>
    </row>
    <row r="279" spans="1:12" x14ac:dyDescent="0.2">
      <c r="A279" s="35">
        <f t="shared" si="45"/>
        <v>262</v>
      </c>
      <c r="B279" s="36">
        <f t="shared" si="40"/>
        <v>49949</v>
      </c>
      <c r="C279" s="37">
        <f t="shared" si="46"/>
        <v>42248.907683033918</v>
      </c>
      <c r="D279" s="38">
        <f t="shared" si="49"/>
        <v>479.39572008846164</v>
      </c>
      <c r="E279" s="59">
        <f t="shared" si="41"/>
        <v>0</v>
      </c>
      <c r="F279" s="38">
        <f t="shared" si="42"/>
        <v>479.39572008846164</v>
      </c>
      <c r="G279" s="38">
        <f t="shared" si="47"/>
        <v>379.05456434125608</v>
      </c>
      <c r="H279" s="38">
        <f t="shared" si="48"/>
        <v>100.34115574720556</v>
      </c>
      <c r="I279" s="38">
        <f t="shared" si="43"/>
        <v>41869.853118692663</v>
      </c>
      <c r="J279" s="38">
        <f>SUM($H$18:$H279)</f>
        <v>51551.531781869606</v>
      </c>
      <c r="L279" s="56">
        <f t="shared" si="44"/>
        <v>0.79069242477031321</v>
      </c>
    </row>
    <row r="280" spans="1:12" x14ac:dyDescent="0.2">
      <c r="A280" s="35">
        <f t="shared" si="45"/>
        <v>263</v>
      </c>
      <c r="B280" s="36">
        <f t="shared" si="40"/>
        <v>49980</v>
      </c>
      <c r="C280" s="37">
        <f t="shared" si="46"/>
        <v>41869.853118692663</v>
      </c>
      <c r="D280" s="38">
        <f t="shared" si="49"/>
        <v>479.39572008846164</v>
      </c>
      <c r="E280" s="59">
        <f t="shared" si="41"/>
        <v>0</v>
      </c>
      <c r="F280" s="38">
        <f t="shared" si="42"/>
        <v>479.39572008846164</v>
      </c>
      <c r="G280" s="38">
        <f t="shared" si="47"/>
        <v>379.95481893156659</v>
      </c>
      <c r="H280" s="38">
        <f t="shared" si="48"/>
        <v>99.440901156895066</v>
      </c>
      <c r="I280" s="38">
        <f t="shared" si="43"/>
        <v>41489.898299761095</v>
      </c>
      <c r="J280" s="38">
        <f>SUM($H$18:$H280)</f>
        <v>51650.972683026499</v>
      </c>
      <c r="L280" s="56">
        <f t="shared" si="44"/>
        <v>0.79257031927914279</v>
      </c>
    </row>
    <row r="281" spans="1:12" x14ac:dyDescent="0.2">
      <c r="A281" s="35">
        <f t="shared" si="45"/>
        <v>264</v>
      </c>
      <c r="B281" s="36">
        <f t="shared" si="40"/>
        <v>50010</v>
      </c>
      <c r="C281" s="37">
        <f t="shared" si="46"/>
        <v>41489.898299761095</v>
      </c>
      <c r="D281" s="38">
        <f t="shared" si="49"/>
        <v>479.39572008846164</v>
      </c>
      <c r="E281" s="59">
        <f t="shared" si="41"/>
        <v>0</v>
      </c>
      <c r="F281" s="38">
        <f t="shared" si="42"/>
        <v>479.39572008846164</v>
      </c>
      <c r="G281" s="38">
        <f t="shared" si="47"/>
        <v>380.85721162652902</v>
      </c>
      <c r="H281" s="38">
        <f t="shared" si="48"/>
        <v>98.538508461932608</v>
      </c>
      <c r="I281" s="38">
        <f t="shared" si="43"/>
        <v>41109.041088134567</v>
      </c>
      <c r="J281" s="38">
        <f>SUM($H$18:$H281)</f>
        <v>51749.511191488433</v>
      </c>
      <c r="K281" s="1">
        <f>J281-J269</f>
        <v>1241.5521345605957</v>
      </c>
      <c r="L281" s="56">
        <f t="shared" si="44"/>
        <v>0.79445267378743067</v>
      </c>
    </row>
    <row r="282" spans="1:12" x14ac:dyDescent="0.2">
      <c r="A282" s="35">
        <f t="shared" si="45"/>
        <v>265</v>
      </c>
      <c r="B282" s="36">
        <f t="shared" si="40"/>
        <v>50041</v>
      </c>
      <c r="C282" s="37">
        <f t="shared" si="46"/>
        <v>41109.041088134567</v>
      </c>
      <c r="D282" s="38">
        <f t="shared" si="49"/>
        <v>479.39572008846164</v>
      </c>
      <c r="E282" s="59">
        <f t="shared" si="41"/>
        <v>0</v>
      </c>
      <c r="F282" s="38">
        <f t="shared" si="42"/>
        <v>479.39572008846164</v>
      </c>
      <c r="G282" s="38">
        <f t="shared" si="47"/>
        <v>381.76174750414202</v>
      </c>
      <c r="H282" s="38">
        <f t="shared" si="48"/>
        <v>97.633972584319608</v>
      </c>
      <c r="I282" s="38">
        <f t="shared" si="43"/>
        <v>40727.279340630426</v>
      </c>
      <c r="J282" s="38">
        <f>SUM($H$18:$H282)</f>
        <v>51847.145164072754</v>
      </c>
      <c r="K282" s="34"/>
      <c r="L282" s="56">
        <f t="shared" si="44"/>
        <v>0.79633949888767575</v>
      </c>
    </row>
    <row r="283" spans="1:12" x14ac:dyDescent="0.2">
      <c r="A283" s="35">
        <f t="shared" si="45"/>
        <v>266</v>
      </c>
      <c r="B283" s="36">
        <f t="shared" si="40"/>
        <v>50072</v>
      </c>
      <c r="C283" s="37">
        <f t="shared" si="46"/>
        <v>40727.279340630426</v>
      </c>
      <c r="D283" s="38">
        <f t="shared" si="49"/>
        <v>479.39572008846164</v>
      </c>
      <c r="E283" s="59">
        <f t="shared" si="41"/>
        <v>0</v>
      </c>
      <c r="F283" s="38">
        <f t="shared" si="42"/>
        <v>479.39572008846164</v>
      </c>
      <c r="G283" s="38">
        <f t="shared" si="47"/>
        <v>382.66843165446437</v>
      </c>
      <c r="H283" s="38">
        <f t="shared" si="48"/>
        <v>96.727288433997273</v>
      </c>
      <c r="I283" s="38">
        <f t="shared" si="43"/>
        <v>40344.610908975963</v>
      </c>
      <c r="J283" s="38">
        <f>SUM($H$18:$H283)</f>
        <v>51943.872452506752</v>
      </c>
      <c r="K283" s="34"/>
      <c r="L283" s="56">
        <f t="shared" si="44"/>
        <v>0.79823080519753398</v>
      </c>
    </row>
    <row r="284" spans="1:12" x14ac:dyDescent="0.2">
      <c r="A284" s="35">
        <f t="shared" si="45"/>
        <v>267</v>
      </c>
      <c r="B284" s="36">
        <f t="shared" si="40"/>
        <v>50100</v>
      </c>
      <c r="C284" s="37">
        <f t="shared" si="46"/>
        <v>40344.610908975963</v>
      </c>
      <c r="D284" s="38">
        <f t="shared" si="49"/>
        <v>479.39572008846164</v>
      </c>
      <c r="E284" s="59">
        <f t="shared" si="41"/>
        <v>0</v>
      </c>
      <c r="F284" s="38">
        <f t="shared" si="42"/>
        <v>479.39572008846164</v>
      </c>
      <c r="G284" s="38">
        <f t="shared" si="47"/>
        <v>383.57726917964374</v>
      </c>
      <c r="H284" s="38">
        <f t="shared" si="48"/>
        <v>95.818450908817908</v>
      </c>
      <c r="I284" s="38">
        <f t="shared" si="43"/>
        <v>39961.033639796318</v>
      </c>
      <c r="J284" s="38">
        <f>SUM($H$18:$H284)</f>
        <v>52039.690903415569</v>
      </c>
      <c r="K284" s="34"/>
      <c r="L284" s="56">
        <f t="shared" si="44"/>
        <v>0.80012660335987817</v>
      </c>
    </row>
    <row r="285" spans="1:12" x14ac:dyDescent="0.2">
      <c r="A285" s="35">
        <f t="shared" si="45"/>
        <v>268</v>
      </c>
      <c r="B285" s="36">
        <f t="shared" si="40"/>
        <v>50131</v>
      </c>
      <c r="C285" s="37">
        <f t="shared" si="46"/>
        <v>39961.033639796318</v>
      </c>
      <c r="D285" s="38">
        <f t="shared" si="49"/>
        <v>479.39572008846164</v>
      </c>
      <c r="E285" s="59">
        <f t="shared" si="41"/>
        <v>0</v>
      </c>
      <c r="F285" s="38">
        <f t="shared" si="42"/>
        <v>479.39572008846164</v>
      </c>
      <c r="G285" s="38">
        <f t="shared" si="47"/>
        <v>384.48826519394538</v>
      </c>
      <c r="H285" s="38">
        <f t="shared" si="48"/>
        <v>94.907454894516263</v>
      </c>
      <c r="I285" s="38">
        <f t="shared" si="43"/>
        <v>39576.54537460237</v>
      </c>
      <c r="J285" s="38">
        <f>SUM($H$18:$H285)</f>
        <v>52134.598358310082</v>
      </c>
      <c r="K285" s="34"/>
      <c r="L285" s="56">
        <f t="shared" si="44"/>
        <v>0.80202690404285792</v>
      </c>
    </row>
    <row r="286" spans="1:12" x14ac:dyDescent="0.2">
      <c r="A286" s="35">
        <f t="shared" si="45"/>
        <v>269</v>
      </c>
      <c r="B286" s="36">
        <f t="shared" si="40"/>
        <v>50161</v>
      </c>
      <c r="C286" s="37">
        <f t="shared" si="46"/>
        <v>39576.54537460237</v>
      </c>
      <c r="D286" s="38">
        <f t="shared" si="49"/>
        <v>479.39572008846164</v>
      </c>
      <c r="E286" s="59">
        <f t="shared" si="41"/>
        <v>0</v>
      </c>
      <c r="F286" s="38">
        <f t="shared" si="42"/>
        <v>479.39572008846164</v>
      </c>
      <c r="G286" s="38">
        <f t="shared" si="47"/>
        <v>385.40142482378099</v>
      </c>
      <c r="H286" s="38">
        <f t="shared" si="48"/>
        <v>93.994295264680645</v>
      </c>
      <c r="I286" s="38">
        <f t="shared" si="43"/>
        <v>39191.14394977859</v>
      </c>
      <c r="J286" s="38">
        <f>SUM($H$18:$H286)</f>
        <v>52228.592653574764</v>
      </c>
      <c r="K286" s="34"/>
      <c r="L286" s="56">
        <f t="shared" si="44"/>
        <v>0.80393171793995966</v>
      </c>
    </row>
    <row r="287" spans="1:12" x14ac:dyDescent="0.2">
      <c r="A287" s="35">
        <f t="shared" si="45"/>
        <v>270</v>
      </c>
      <c r="B287" s="36">
        <f t="shared" si="40"/>
        <v>50192</v>
      </c>
      <c r="C287" s="37">
        <f t="shared" si="46"/>
        <v>39191.14394977859</v>
      </c>
      <c r="D287" s="38">
        <f t="shared" si="49"/>
        <v>479.39572008846164</v>
      </c>
      <c r="E287" s="59">
        <f t="shared" si="41"/>
        <v>0</v>
      </c>
      <c r="F287" s="38">
        <f t="shared" si="42"/>
        <v>479.39572008846164</v>
      </c>
      <c r="G287" s="38">
        <f t="shared" si="47"/>
        <v>386.31675320773746</v>
      </c>
      <c r="H287" s="38">
        <f t="shared" si="48"/>
        <v>93.078966880724167</v>
      </c>
      <c r="I287" s="38">
        <f t="shared" si="43"/>
        <v>38804.827196570855</v>
      </c>
      <c r="J287" s="38">
        <f>SUM($H$18:$H287)</f>
        <v>52321.67162045549</v>
      </c>
      <c r="L287" s="56">
        <f t="shared" si="44"/>
        <v>0.80584105577006704</v>
      </c>
    </row>
    <row r="288" spans="1:12" x14ac:dyDescent="0.2">
      <c r="A288" s="35">
        <f t="shared" si="45"/>
        <v>271</v>
      </c>
      <c r="B288" s="36">
        <f t="shared" si="40"/>
        <v>50222</v>
      </c>
      <c r="C288" s="37">
        <f t="shared" si="46"/>
        <v>38804.827196570855</v>
      </c>
      <c r="D288" s="38">
        <f t="shared" si="49"/>
        <v>479.39572008846164</v>
      </c>
      <c r="E288" s="59">
        <f t="shared" si="41"/>
        <v>0</v>
      </c>
      <c r="F288" s="38">
        <f t="shared" si="42"/>
        <v>479.39572008846164</v>
      </c>
      <c r="G288" s="38">
        <f t="shared" si="47"/>
        <v>387.23425549660584</v>
      </c>
      <c r="H288" s="38">
        <f t="shared" si="48"/>
        <v>92.16146459185579</v>
      </c>
      <c r="I288" s="38">
        <f t="shared" si="43"/>
        <v>38417.592941074246</v>
      </c>
      <c r="J288" s="38">
        <f>SUM($H$18:$H288)</f>
        <v>52413.833085047343</v>
      </c>
      <c r="L288" s="56">
        <f t="shared" si="44"/>
        <v>0.80775492827752093</v>
      </c>
    </row>
    <row r="289" spans="1:12" x14ac:dyDescent="0.2">
      <c r="A289" s="35">
        <f t="shared" si="45"/>
        <v>272</v>
      </c>
      <c r="B289" s="36">
        <f t="shared" si="40"/>
        <v>50253</v>
      </c>
      <c r="C289" s="37">
        <f t="shared" si="46"/>
        <v>38417.592941074246</v>
      </c>
      <c r="D289" s="38">
        <f t="shared" si="49"/>
        <v>479.39572008846164</v>
      </c>
      <c r="E289" s="59">
        <f t="shared" si="41"/>
        <v>0</v>
      </c>
      <c r="F289" s="38">
        <f t="shared" si="42"/>
        <v>479.39572008846164</v>
      </c>
      <c r="G289" s="38">
        <f t="shared" si="47"/>
        <v>388.1539368534103</v>
      </c>
      <c r="H289" s="38">
        <f t="shared" si="48"/>
        <v>91.241783235051344</v>
      </c>
      <c r="I289" s="38">
        <f t="shared" si="43"/>
        <v>38029.43900422084</v>
      </c>
      <c r="J289" s="38">
        <f>SUM($H$18:$H289)</f>
        <v>52505.074868282398</v>
      </c>
      <c r="L289" s="56">
        <f t="shared" si="44"/>
        <v>0.80967334623218012</v>
      </c>
    </row>
    <row r="290" spans="1:12" x14ac:dyDescent="0.2">
      <c r="A290" s="35">
        <f t="shared" si="45"/>
        <v>273</v>
      </c>
      <c r="B290" s="36">
        <f t="shared" si="40"/>
        <v>50284</v>
      </c>
      <c r="C290" s="37">
        <f t="shared" si="46"/>
        <v>38029.43900422084</v>
      </c>
      <c r="D290" s="38">
        <f t="shared" si="49"/>
        <v>479.39572008846164</v>
      </c>
      <c r="E290" s="59">
        <f t="shared" si="41"/>
        <v>0</v>
      </c>
      <c r="F290" s="38">
        <f t="shared" si="42"/>
        <v>479.39572008846164</v>
      </c>
      <c r="G290" s="38">
        <f t="shared" si="47"/>
        <v>389.07580245343712</v>
      </c>
      <c r="H290" s="38">
        <f t="shared" si="48"/>
        <v>90.31991763502451</v>
      </c>
      <c r="I290" s="38">
        <f t="shared" si="43"/>
        <v>37640.363201767403</v>
      </c>
      <c r="J290" s="38">
        <f>SUM($H$18:$H290)</f>
        <v>52595.394785917422</v>
      </c>
      <c r="L290" s="56">
        <f t="shared" si="44"/>
        <v>0.81159632042948149</v>
      </c>
    </row>
    <row r="291" spans="1:12" x14ac:dyDescent="0.2">
      <c r="A291" s="35">
        <f t="shared" si="45"/>
        <v>274</v>
      </c>
      <c r="B291" s="36">
        <f t="shared" si="40"/>
        <v>50314</v>
      </c>
      <c r="C291" s="37">
        <f t="shared" si="46"/>
        <v>37640.363201767403</v>
      </c>
      <c r="D291" s="38">
        <f t="shared" si="49"/>
        <v>479.39572008846164</v>
      </c>
      <c r="E291" s="59">
        <f t="shared" si="41"/>
        <v>0</v>
      </c>
      <c r="F291" s="38">
        <f t="shared" si="42"/>
        <v>479.39572008846164</v>
      </c>
      <c r="G291" s="38">
        <f t="shared" si="47"/>
        <v>389.99985748426406</v>
      </c>
      <c r="H291" s="38">
        <f t="shared" si="48"/>
        <v>89.395862604197589</v>
      </c>
      <c r="I291" s="38">
        <f t="shared" si="43"/>
        <v>37250.363344283141</v>
      </c>
      <c r="J291" s="38">
        <f>SUM($H$18:$H291)</f>
        <v>52684.790648521623</v>
      </c>
      <c r="L291" s="56">
        <f t="shared" si="44"/>
        <v>0.8135238616905015</v>
      </c>
    </row>
    <row r="292" spans="1:12" x14ac:dyDescent="0.2">
      <c r="A292" s="35">
        <f t="shared" si="45"/>
        <v>275</v>
      </c>
      <c r="B292" s="36">
        <f t="shared" si="40"/>
        <v>50345</v>
      </c>
      <c r="C292" s="37">
        <f t="shared" si="46"/>
        <v>37250.363344283141</v>
      </c>
      <c r="D292" s="38">
        <f t="shared" si="49"/>
        <v>479.39572008846164</v>
      </c>
      <c r="E292" s="59">
        <f t="shared" si="41"/>
        <v>0</v>
      </c>
      <c r="F292" s="38">
        <f t="shared" si="42"/>
        <v>479.39572008846164</v>
      </c>
      <c r="G292" s="38">
        <f t="shared" si="47"/>
        <v>390.92610714578916</v>
      </c>
      <c r="H292" s="38">
        <f t="shared" si="48"/>
        <v>88.46961294267247</v>
      </c>
      <c r="I292" s="38">
        <f t="shared" si="43"/>
        <v>36859.437237137354</v>
      </c>
      <c r="J292" s="38">
        <f>SUM($H$18:$H292)</f>
        <v>52773.260261464296</v>
      </c>
      <c r="L292" s="56">
        <f t="shared" si="44"/>
        <v>0.81545598086201643</v>
      </c>
    </row>
    <row r="293" spans="1:12" x14ac:dyDescent="0.2">
      <c r="A293" s="35">
        <f t="shared" si="45"/>
        <v>276</v>
      </c>
      <c r="B293" s="36">
        <f t="shared" si="40"/>
        <v>50375</v>
      </c>
      <c r="C293" s="37">
        <f t="shared" si="46"/>
        <v>36859.437237137354</v>
      </c>
      <c r="D293" s="38">
        <f t="shared" si="49"/>
        <v>479.39572008846164</v>
      </c>
      <c r="E293" s="59">
        <f t="shared" si="41"/>
        <v>0</v>
      </c>
      <c r="F293" s="38">
        <f t="shared" si="42"/>
        <v>479.39572008846164</v>
      </c>
      <c r="G293" s="38">
        <f t="shared" si="47"/>
        <v>391.85455665026041</v>
      </c>
      <c r="H293" s="38">
        <f t="shared" si="48"/>
        <v>87.541163438201224</v>
      </c>
      <c r="I293" s="38">
        <f t="shared" si="43"/>
        <v>36467.582680487096</v>
      </c>
      <c r="J293" s="38">
        <f>SUM($H$18:$H293)</f>
        <v>52860.8014249025</v>
      </c>
      <c r="K293" s="1">
        <f>J293-J281</f>
        <v>1111.2902334140672</v>
      </c>
      <c r="L293" s="56">
        <f t="shared" si="44"/>
        <v>0.81739268881656368</v>
      </c>
    </row>
    <row r="294" spans="1:12" x14ac:dyDescent="0.2">
      <c r="A294" s="35">
        <f t="shared" si="45"/>
        <v>277</v>
      </c>
      <c r="B294" s="36">
        <f t="shared" si="40"/>
        <v>50406</v>
      </c>
      <c r="C294" s="37">
        <f t="shared" si="46"/>
        <v>36467.582680487096</v>
      </c>
      <c r="D294" s="38">
        <f t="shared" si="49"/>
        <v>479.39572008846164</v>
      </c>
      <c r="E294" s="59">
        <f t="shared" si="41"/>
        <v>0</v>
      </c>
      <c r="F294" s="38">
        <f t="shared" si="42"/>
        <v>479.39572008846164</v>
      </c>
      <c r="G294" s="38">
        <f t="shared" si="47"/>
        <v>392.78521122230478</v>
      </c>
      <c r="H294" s="38">
        <f t="shared" si="48"/>
        <v>86.610508866156863</v>
      </c>
      <c r="I294" s="38">
        <f t="shared" si="43"/>
        <v>36074.797469264791</v>
      </c>
      <c r="J294" s="38">
        <f>SUM($H$18:$H294)</f>
        <v>52947.411933768657</v>
      </c>
      <c r="K294" s="34"/>
      <c r="L294" s="56">
        <f t="shared" si="44"/>
        <v>0.81933399645250304</v>
      </c>
    </row>
    <row r="295" spans="1:12" x14ac:dyDescent="0.2">
      <c r="A295" s="35">
        <f t="shared" si="45"/>
        <v>278</v>
      </c>
      <c r="B295" s="36">
        <f t="shared" si="40"/>
        <v>50437</v>
      </c>
      <c r="C295" s="37">
        <f t="shared" si="46"/>
        <v>36074.797469264791</v>
      </c>
      <c r="D295" s="38">
        <f t="shared" si="49"/>
        <v>479.39572008846164</v>
      </c>
      <c r="E295" s="59">
        <f t="shared" si="41"/>
        <v>0</v>
      </c>
      <c r="F295" s="38">
        <f t="shared" si="42"/>
        <v>479.39572008846164</v>
      </c>
      <c r="G295" s="38">
        <f t="shared" si="47"/>
        <v>393.71807609895774</v>
      </c>
      <c r="H295" s="38">
        <f t="shared" si="48"/>
        <v>85.677643989503892</v>
      </c>
      <c r="I295" s="38">
        <f t="shared" si="43"/>
        <v>35681.079393165834</v>
      </c>
      <c r="J295" s="38">
        <f>SUM($H$18:$H295)</f>
        <v>53033.089577758161</v>
      </c>
      <c r="K295" s="34"/>
      <c r="L295" s="56">
        <f t="shared" si="44"/>
        <v>0.82127991469407768</v>
      </c>
    </row>
    <row r="296" spans="1:12" x14ac:dyDescent="0.2">
      <c r="A296" s="35">
        <f t="shared" si="45"/>
        <v>279</v>
      </c>
      <c r="B296" s="36">
        <f t="shared" si="40"/>
        <v>50465</v>
      </c>
      <c r="C296" s="37">
        <f t="shared" si="46"/>
        <v>35681.079393165834</v>
      </c>
      <c r="D296" s="38">
        <f t="shared" si="49"/>
        <v>479.39572008846164</v>
      </c>
      <c r="E296" s="59">
        <f t="shared" si="41"/>
        <v>0</v>
      </c>
      <c r="F296" s="38">
        <f t="shared" si="42"/>
        <v>479.39572008846164</v>
      </c>
      <c r="G296" s="38">
        <f t="shared" si="47"/>
        <v>394.65315652969281</v>
      </c>
      <c r="H296" s="38">
        <f t="shared" si="48"/>
        <v>84.74256355876885</v>
      </c>
      <c r="I296" s="38">
        <f t="shared" si="43"/>
        <v>35286.426236636144</v>
      </c>
      <c r="J296" s="38">
        <f>SUM($H$18:$H296)</f>
        <v>53117.832141316932</v>
      </c>
      <c r="K296" s="34"/>
      <c r="L296" s="56">
        <f t="shared" si="44"/>
        <v>0.82323045449147625</v>
      </c>
    </row>
    <row r="297" spans="1:12" x14ac:dyDescent="0.2">
      <c r="A297" s="35">
        <f t="shared" si="45"/>
        <v>280</v>
      </c>
      <c r="B297" s="36">
        <f t="shared" si="40"/>
        <v>50496</v>
      </c>
      <c r="C297" s="37">
        <f t="shared" si="46"/>
        <v>35286.426236636144</v>
      </c>
      <c r="D297" s="38">
        <f t="shared" si="49"/>
        <v>479.39572008846164</v>
      </c>
      <c r="E297" s="59">
        <f t="shared" si="41"/>
        <v>0</v>
      </c>
      <c r="F297" s="38">
        <f t="shared" si="42"/>
        <v>479.39572008846164</v>
      </c>
      <c r="G297" s="38">
        <f t="shared" si="47"/>
        <v>395.59045777645082</v>
      </c>
      <c r="H297" s="38">
        <f t="shared" si="48"/>
        <v>83.805262312010839</v>
      </c>
      <c r="I297" s="38">
        <f t="shared" si="43"/>
        <v>34890.835778859691</v>
      </c>
      <c r="J297" s="38">
        <f>SUM($H$18:$H297)</f>
        <v>53201.637403628942</v>
      </c>
      <c r="K297" s="34"/>
      <c r="L297" s="56">
        <f t="shared" si="44"/>
        <v>0.82518562682089347</v>
      </c>
    </row>
    <row r="298" spans="1:12" x14ac:dyDescent="0.2">
      <c r="A298" s="35">
        <f t="shared" si="45"/>
        <v>281</v>
      </c>
      <c r="B298" s="36">
        <f t="shared" si="40"/>
        <v>50526</v>
      </c>
      <c r="C298" s="37">
        <f t="shared" si="46"/>
        <v>34890.835778859691</v>
      </c>
      <c r="D298" s="38">
        <f t="shared" si="49"/>
        <v>479.39572008846164</v>
      </c>
      <c r="E298" s="59">
        <f t="shared" si="41"/>
        <v>0</v>
      </c>
      <c r="F298" s="38">
        <f t="shared" si="42"/>
        <v>479.39572008846164</v>
      </c>
      <c r="G298" s="38">
        <f t="shared" si="47"/>
        <v>396.52998511366985</v>
      </c>
      <c r="H298" s="38">
        <f t="shared" si="48"/>
        <v>82.865734974791778</v>
      </c>
      <c r="I298" s="38">
        <f t="shared" si="43"/>
        <v>34494.305793746018</v>
      </c>
      <c r="J298" s="38">
        <f>SUM($H$18:$H298)</f>
        <v>53284.50313860373</v>
      </c>
      <c r="K298" s="34"/>
      <c r="L298" s="56">
        <f t="shared" si="44"/>
        <v>0.827145442684593</v>
      </c>
    </row>
    <row r="299" spans="1:12" x14ac:dyDescent="0.2">
      <c r="A299" s="35">
        <f t="shared" si="45"/>
        <v>282</v>
      </c>
      <c r="B299" s="36">
        <f t="shared" si="40"/>
        <v>50557</v>
      </c>
      <c r="C299" s="37">
        <f t="shared" si="46"/>
        <v>34494.305793746018</v>
      </c>
      <c r="D299" s="38">
        <f t="shared" si="49"/>
        <v>479.39572008846164</v>
      </c>
      <c r="E299" s="59">
        <f t="shared" si="41"/>
        <v>0</v>
      </c>
      <c r="F299" s="38">
        <f t="shared" si="42"/>
        <v>479.39572008846164</v>
      </c>
      <c r="G299" s="38">
        <f t="shared" si="47"/>
        <v>397.47174382831486</v>
      </c>
      <c r="H299" s="38">
        <f t="shared" si="48"/>
        <v>81.923976260146802</v>
      </c>
      <c r="I299" s="38">
        <f t="shared" si="43"/>
        <v>34096.834049917707</v>
      </c>
      <c r="J299" s="38">
        <f>SUM($H$18:$H299)</f>
        <v>53366.42711486388</v>
      </c>
      <c r="L299" s="56">
        <f t="shared" si="44"/>
        <v>0.82910991311096904</v>
      </c>
    </row>
    <row r="300" spans="1:12" x14ac:dyDescent="0.2">
      <c r="A300" s="35">
        <f t="shared" si="45"/>
        <v>283</v>
      </c>
      <c r="B300" s="36">
        <f t="shared" si="40"/>
        <v>50587</v>
      </c>
      <c r="C300" s="37">
        <f t="shared" si="46"/>
        <v>34096.834049917707</v>
      </c>
      <c r="D300" s="38">
        <f t="shared" si="49"/>
        <v>479.39572008846164</v>
      </c>
      <c r="E300" s="59">
        <f t="shared" si="41"/>
        <v>0</v>
      </c>
      <c r="F300" s="38">
        <f t="shared" si="42"/>
        <v>479.39572008846164</v>
      </c>
      <c r="G300" s="38">
        <f t="shared" si="47"/>
        <v>398.4157392199071</v>
      </c>
      <c r="H300" s="38">
        <f t="shared" si="48"/>
        <v>80.979980868554563</v>
      </c>
      <c r="I300" s="38">
        <f t="shared" si="43"/>
        <v>33698.418310697802</v>
      </c>
      <c r="J300" s="38">
        <f>SUM($H$18:$H300)</f>
        <v>53447.407095732437</v>
      </c>
      <c r="L300" s="56">
        <f t="shared" si="44"/>
        <v>0.83107904915460751</v>
      </c>
    </row>
    <row r="301" spans="1:12" x14ac:dyDescent="0.2">
      <c r="A301" s="35">
        <f t="shared" si="45"/>
        <v>284</v>
      </c>
      <c r="B301" s="36">
        <f t="shared" si="40"/>
        <v>50618</v>
      </c>
      <c r="C301" s="37">
        <f t="shared" si="46"/>
        <v>33698.418310697802</v>
      </c>
      <c r="D301" s="38">
        <f t="shared" si="49"/>
        <v>479.39572008846164</v>
      </c>
      <c r="E301" s="59">
        <f t="shared" si="41"/>
        <v>0</v>
      </c>
      <c r="F301" s="38">
        <f t="shared" si="42"/>
        <v>479.39572008846164</v>
      </c>
      <c r="G301" s="38">
        <f t="shared" si="47"/>
        <v>399.36197660055439</v>
      </c>
      <c r="H301" s="38">
        <f t="shared" si="48"/>
        <v>80.033743487907273</v>
      </c>
      <c r="I301" s="38">
        <f t="shared" si="43"/>
        <v>33299.056334097244</v>
      </c>
      <c r="J301" s="38">
        <f>SUM($H$18:$H301)</f>
        <v>53527.44083922034</v>
      </c>
      <c r="L301" s="56">
        <f t="shared" si="44"/>
        <v>0.83305286189634975</v>
      </c>
    </row>
    <row r="302" spans="1:12" x14ac:dyDescent="0.2">
      <c r="A302" s="35">
        <f t="shared" si="45"/>
        <v>285</v>
      </c>
      <c r="B302" s="36">
        <f t="shared" si="40"/>
        <v>50649</v>
      </c>
      <c r="C302" s="37">
        <f t="shared" si="46"/>
        <v>33299.056334097244</v>
      </c>
      <c r="D302" s="38">
        <f t="shared" si="49"/>
        <v>479.39572008846164</v>
      </c>
      <c r="E302" s="59">
        <f t="shared" si="41"/>
        <v>0</v>
      </c>
      <c r="F302" s="38">
        <f t="shared" si="42"/>
        <v>479.39572008846164</v>
      </c>
      <c r="G302" s="38">
        <f t="shared" si="47"/>
        <v>400.31046129498066</v>
      </c>
      <c r="H302" s="38">
        <f t="shared" si="48"/>
        <v>79.085258793480961</v>
      </c>
      <c r="I302" s="38">
        <f t="shared" si="43"/>
        <v>32898.745872802261</v>
      </c>
      <c r="J302" s="38">
        <f>SUM($H$18:$H302)</f>
        <v>53606.526098013819</v>
      </c>
      <c r="L302" s="56">
        <f t="shared" si="44"/>
        <v>0.83503136244335352</v>
      </c>
    </row>
    <row r="303" spans="1:12" x14ac:dyDescent="0.2">
      <c r="A303" s="35">
        <f t="shared" si="45"/>
        <v>286</v>
      </c>
      <c r="B303" s="36">
        <f t="shared" si="40"/>
        <v>50679</v>
      </c>
      <c r="C303" s="37">
        <f t="shared" si="46"/>
        <v>32898.745872802261</v>
      </c>
      <c r="D303" s="38">
        <f t="shared" si="49"/>
        <v>479.39572008846164</v>
      </c>
      <c r="E303" s="59">
        <f t="shared" si="41"/>
        <v>0</v>
      </c>
      <c r="F303" s="38">
        <f t="shared" si="42"/>
        <v>479.39572008846164</v>
      </c>
      <c r="G303" s="38">
        <f t="shared" si="47"/>
        <v>401.26119864055624</v>
      </c>
      <c r="H303" s="38">
        <f t="shared" si="48"/>
        <v>78.134521447905371</v>
      </c>
      <c r="I303" s="38">
        <f t="shared" si="43"/>
        <v>32497.484674161704</v>
      </c>
      <c r="J303" s="38">
        <f>SUM($H$18:$H303)</f>
        <v>53684.660619461727</v>
      </c>
      <c r="L303" s="56">
        <f t="shared" si="44"/>
        <v>0.83701456192915646</v>
      </c>
    </row>
    <row r="304" spans="1:12" x14ac:dyDescent="0.2">
      <c r="A304" s="35">
        <f t="shared" si="45"/>
        <v>287</v>
      </c>
      <c r="B304" s="36">
        <f t="shared" si="40"/>
        <v>50710</v>
      </c>
      <c r="C304" s="37">
        <f t="shared" si="46"/>
        <v>32497.484674161704</v>
      </c>
      <c r="D304" s="38">
        <f t="shared" si="49"/>
        <v>479.39572008846164</v>
      </c>
      <c r="E304" s="59">
        <f t="shared" si="41"/>
        <v>0</v>
      </c>
      <c r="F304" s="38">
        <f t="shared" si="42"/>
        <v>479.39572008846164</v>
      </c>
      <c r="G304" s="38">
        <f t="shared" si="47"/>
        <v>402.21419398732758</v>
      </c>
      <c r="H304" s="38">
        <f t="shared" si="48"/>
        <v>77.181526101134054</v>
      </c>
      <c r="I304" s="38">
        <f t="shared" si="43"/>
        <v>32095.270480174375</v>
      </c>
      <c r="J304" s="38">
        <f>SUM($H$18:$H304)</f>
        <v>53761.842145562863</v>
      </c>
      <c r="L304" s="56">
        <f t="shared" si="44"/>
        <v>0.8390024715137383</v>
      </c>
    </row>
    <row r="305" spans="1:12" x14ac:dyDescent="0.2">
      <c r="A305" s="35">
        <f t="shared" si="45"/>
        <v>288</v>
      </c>
      <c r="B305" s="36">
        <f t="shared" si="40"/>
        <v>50740</v>
      </c>
      <c r="C305" s="37">
        <f t="shared" si="46"/>
        <v>32095.270480174375</v>
      </c>
      <c r="D305" s="38">
        <f t="shared" si="49"/>
        <v>479.39572008846164</v>
      </c>
      <c r="E305" s="59">
        <f t="shared" si="41"/>
        <v>0</v>
      </c>
      <c r="F305" s="38">
        <f t="shared" si="42"/>
        <v>479.39572008846164</v>
      </c>
      <c r="G305" s="38">
        <f t="shared" si="47"/>
        <v>403.16945269804751</v>
      </c>
      <c r="H305" s="38">
        <f t="shared" si="48"/>
        <v>76.226267390414151</v>
      </c>
      <c r="I305" s="38">
        <f t="shared" si="43"/>
        <v>31692.101027476328</v>
      </c>
      <c r="J305" s="38">
        <f>SUM($H$18:$H305)</f>
        <v>53838.068412953275</v>
      </c>
      <c r="K305" s="1">
        <f>J305-J293</f>
        <v>977.26698805077467</v>
      </c>
      <c r="L305" s="56">
        <f t="shared" si="44"/>
        <v>0.84099510238358344</v>
      </c>
    </row>
    <row r="306" spans="1:12" x14ac:dyDescent="0.2">
      <c r="A306" s="35">
        <f t="shared" si="45"/>
        <v>289</v>
      </c>
      <c r="B306" s="36">
        <f t="shared" si="40"/>
        <v>50771</v>
      </c>
      <c r="C306" s="37">
        <f t="shared" si="46"/>
        <v>31692.101027476328</v>
      </c>
      <c r="D306" s="38">
        <f t="shared" si="49"/>
        <v>479.39572008846164</v>
      </c>
      <c r="E306" s="59">
        <f t="shared" si="41"/>
        <v>0</v>
      </c>
      <c r="F306" s="38">
        <f t="shared" si="42"/>
        <v>479.39572008846164</v>
      </c>
      <c r="G306" s="38">
        <f t="shared" si="47"/>
        <v>404.12698014820535</v>
      </c>
      <c r="H306" s="38">
        <f t="shared" si="48"/>
        <v>75.268739940256282</v>
      </c>
      <c r="I306" s="38">
        <f t="shared" si="43"/>
        <v>31287.974047328124</v>
      </c>
      <c r="J306" s="38">
        <f>SUM($H$18:$H306)</f>
        <v>53913.337152893531</v>
      </c>
      <c r="K306" s="34"/>
      <c r="L306" s="56">
        <f t="shared" si="44"/>
        <v>0.84299246575174436</v>
      </c>
    </row>
    <row r="307" spans="1:12" x14ac:dyDescent="0.2">
      <c r="A307" s="35">
        <f t="shared" si="45"/>
        <v>290</v>
      </c>
      <c r="B307" s="36">
        <f t="shared" si="40"/>
        <v>50802</v>
      </c>
      <c r="C307" s="37">
        <f t="shared" si="46"/>
        <v>31287.974047328124</v>
      </c>
      <c r="D307" s="38">
        <f t="shared" si="49"/>
        <v>479.39572008846164</v>
      </c>
      <c r="E307" s="59">
        <f t="shared" si="41"/>
        <v>0</v>
      </c>
      <c r="F307" s="38">
        <f t="shared" si="42"/>
        <v>479.39572008846164</v>
      </c>
      <c r="G307" s="38">
        <f t="shared" si="47"/>
        <v>405.08678172605732</v>
      </c>
      <c r="H307" s="38">
        <f t="shared" si="48"/>
        <v>74.308938362404305</v>
      </c>
      <c r="I307" s="38">
        <f t="shared" si="43"/>
        <v>30882.887265602065</v>
      </c>
      <c r="J307" s="38">
        <f>SUM($H$18:$H307)</f>
        <v>53987.646091255934</v>
      </c>
      <c r="K307" s="34"/>
      <c r="L307" s="56">
        <f t="shared" si="44"/>
        <v>0.8449945728579048</v>
      </c>
    </row>
    <row r="308" spans="1:12" x14ac:dyDescent="0.2">
      <c r="A308" s="35">
        <f t="shared" si="45"/>
        <v>291</v>
      </c>
      <c r="B308" s="36">
        <f t="shared" si="40"/>
        <v>50830</v>
      </c>
      <c r="C308" s="37">
        <f t="shared" si="46"/>
        <v>30882.887265602065</v>
      </c>
      <c r="D308" s="38">
        <f t="shared" si="49"/>
        <v>479.39572008846164</v>
      </c>
      <c r="E308" s="59">
        <f t="shared" si="41"/>
        <v>0</v>
      </c>
      <c r="F308" s="38">
        <f t="shared" si="42"/>
        <v>479.39572008846164</v>
      </c>
      <c r="G308" s="38">
        <f t="shared" si="47"/>
        <v>406.04886283265671</v>
      </c>
      <c r="H308" s="38">
        <f t="shared" si="48"/>
        <v>73.346857255804906</v>
      </c>
      <c r="I308" s="38">
        <f t="shared" si="43"/>
        <v>30476.838402769408</v>
      </c>
      <c r="J308" s="38">
        <f>SUM($H$18:$H308)</f>
        <v>54060.992948511739</v>
      </c>
      <c r="K308" s="34"/>
      <c r="L308" s="56">
        <f t="shared" si="44"/>
        <v>0.84700143496844227</v>
      </c>
    </row>
    <row r="309" spans="1:12" x14ac:dyDescent="0.2">
      <c r="A309" s="35">
        <f t="shared" si="45"/>
        <v>292</v>
      </c>
      <c r="B309" s="36">
        <f t="shared" si="40"/>
        <v>50861</v>
      </c>
      <c r="C309" s="37">
        <f t="shared" si="46"/>
        <v>30476.838402769408</v>
      </c>
      <c r="D309" s="38">
        <f t="shared" si="49"/>
        <v>479.39572008846164</v>
      </c>
      <c r="E309" s="59">
        <f t="shared" si="41"/>
        <v>0</v>
      </c>
      <c r="F309" s="38">
        <f t="shared" si="42"/>
        <v>479.39572008846164</v>
      </c>
      <c r="G309" s="38">
        <f t="shared" si="47"/>
        <v>407.01322888188429</v>
      </c>
      <c r="H309" s="38">
        <f t="shared" si="48"/>
        <v>72.382491206577342</v>
      </c>
      <c r="I309" s="38">
        <f t="shared" si="43"/>
        <v>30069.825173887522</v>
      </c>
      <c r="J309" s="38">
        <f>SUM($H$18:$H309)</f>
        <v>54133.375439718315</v>
      </c>
      <c r="K309" s="34"/>
      <c r="L309" s="56">
        <f t="shared" si="44"/>
        <v>0.84901306337649241</v>
      </c>
    </row>
    <row r="310" spans="1:12" x14ac:dyDescent="0.2">
      <c r="A310" s="35">
        <f t="shared" si="45"/>
        <v>293</v>
      </c>
      <c r="B310" s="36">
        <f t="shared" si="40"/>
        <v>50891</v>
      </c>
      <c r="C310" s="37">
        <f t="shared" si="46"/>
        <v>30069.825173887522</v>
      </c>
      <c r="D310" s="38">
        <f t="shared" si="49"/>
        <v>479.39572008846164</v>
      </c>
      <c r="E310" s="59">
        <f t="shared" si="41"/>
        <v>0</v>
      </c>
      <c r="F310" s="38">
        <f t="shared" si="42"/>
        <v>479.39572008846164</v>
      </c>
      <c r="G310" s="38">
        <f t="shared" si="47"/>
        <v>407.97988530047877</v>
      </c>
      <c r="H310" s="38">
        <f t="shared" si="48"/>
        <v>71.41583478798286</v>
      </c>
      <c r="I310" s="38">
        <f t="shared" si="43"/>
        <v>29661.845288587043</v>
      </c>
      <c r="J310" s="38">
        <f>SUM($H$18:$H310)</f>
        <v>54204.7912745063</v>
      </c>
      <c r="K310" s="34"/>
      <c r="L310" s="56">
        <f t="shared" si="44"/>
        <v>0.85102946940201152</v>
      </c>
    </row>
    <row r="311" spans="1:12" x14ac:dyDescent="0.2">
      <c r="A311" s="35">
        <f t="shared" si="45"/>
        <v>294</v>
      </c>
      <c r="B311" s="36">
        <f t="shared" si="40"/>
        <v>50922</v>
      </c>
      <c r="C311" s="37">
        <f t="shared" si="46"/>
        <v>29661.845288587043</v>
      </c>
      <c r="D311" s="38">
        <f t="shared" si="49"/>
        <v>479.39572008846164</v>
      </c>
      <c r="E311" s="59">
        <f t="shared" si="41"/>
        <v>0</v>
      </c>
      <c r="F311" s="38">
        <f t="shared" si="42"/>
        <v>479.39572008846164</v>
      </c>
      <c r="G311" s="38">
        <f t="shared" si="47"/>
        <v>408.94883752806743</v>
      </c>
      <c r="H311" s="38">
        <f t="shared" si="48"/>
        <v>70.446882560394229</v>
      </c>
      <c r="I311" s="38">
        <f t="shared" si="43"/>
        <v>29252.896451058976</v>
      </c>
      <c r="J311" s="38">
        <f>SUM($H$18:$H311)</f>
        <v>54275.238157066691</v>
      </c>
      <c r="L311" s="56">
        <f t="shared" si="44"/>
        <v>0.85305066439184141</v>
      </c>
    </row>
    <row r="312" spans="1:12" x14ac:dyDescent="0.2">
      <c r="A312" s="35">
        <f t="shared" si="45"/>
        <v>295</v>
      </c>
      <c r="B312" s="36">
        <f t="shared" si="40"/>
        <v>50952</v>
      </c>
      <c r="C312" s="37">
        <f t="shared" si="46"/>
        <v>29252.896451058976</v>
      </c>
      <c r="D312" s="38">
        <f t="shared" si="49"/>
        <v>479.39572008846164</v>
      </c>
      <c r="E312" s="59">
        <f t="shared" si="41"/>
        <v>0</v>
      </c>
      <c r="F312" s="38">
        <f t="shared" si="42"/>
        <v>479.39572008846164</v>
      </c>
      <c r="G312" s="38">
        <f t="shared" si="47"/>
        <v>409.92009101719657</v>
      </c>
      <c r="H312" s="38">
        <f t="shared" si="48"/>
        <v>69.475629071265061</v>
      </c>
      <c r="I312" s="38">
        <f t="shared" si="43"/>
        <v>28842.976360041779</v>
      </c>
      <c r="J312" s="38">
        <f>SUM($H$18:$H312)</f>
        <v>54344.71378613796</v>
      </c>
      <c r="L312" s="56">
        <f t="shared" si="44"/>
        <v>0.85507665971977198</v>
      </c>
    </row>
    <row r="313" spans="1:12" x14ac:dyDescent="0.2">
      <c r="A313" s="35">
        <f t="shared" si="45"/>
        <v>296</v>
      </c>
      <c r="B313" s="36">
        <f t="shared" si="40"/>
        <v>50983</v>
      </c>
      <c r="C313" s="37">
        <f t="shared" si="46"/>
        <v>28842.976360041779</v>
      </c>
      <c r="D313" s="38">
        <f t="shared" si="49"/>
        <v>479.39572008846164</v>
      </c>
      <c r="E313" s="59">
        <f t="shared" si="41"/>
        <v>0</v>
      </c>
      <c r="F313" s="38">
        <f t="shared" si="42"/>
        <v>479.39572008846164</v>
      </c>
      <c r="G313" s="38">
        <f t="shared" si="47"/>
        <v>410.89365123336245</v>
      </c>
      <c r="H313" s="38">
        <f t="shared" si="48"/>
        <v>68.502068855099225</v>
      </c>
      <c r="I313" s="38">
        <f t="shared" si="43"/>
        <v>28432.082708808415</v>
      </c>
      <c r="J313" s="38">
        <f>SUM($H$18:$H313)</f>
        <v>54413.215854993061</v>
      </c>
      <c r="L313" s="56">
        <f t="shared" si="44"/>
        <v>0.85710746678660654</v>
      </c>
    </row>
    <row r="314" spans="1:12" x14ac:dyDescent="0.2">
      <c r="A314" s="35">
        <f t="shared" si="45"/>
        <v>297</v>
      </c>
      <c r="B314" s="36">
        <f t="shared" si="40"/>
        <v>51014</v>
      </c>
      <c r="C314" s="37">
        <f t="shared" si="46"/>
        <v>28432.082708808415</v>
      </c>
      <c r="D314" s="38">
        <f t="shared" si="49"/>
        <v>479.39572008846164</v>
      </c>
      <c r="E314" s="59">
        <f t="shared" si="41"/>
        <v>0</v>
      </c>
      <c r="F314" s="38">
        <f t="shared" si="42"/>
        <v>479.39572008846164</v>
      </c>
      <c r="G314" s="38">
        <f t="shared" si="47"/>
        <v>411.86952365504163</v>
      </c>
      <c r="H314" s="38">
        <f t="shared" si="48"/>
        <v>67.526196433419997</v>
      </c>
      <c r="I314" s="38">
        <f t="shared" si="43"/>
        <v>28020.213185153374</v>
      </c>
      <c r="J314" s="38">
        <f>SUM($H$18:$H314)</f>
        <v>54480.742051426481</v>
      </c>
      <c r="L314" s="56">
        <f t="shared" si="44"/>
        <v>0.85914309702022462</v>
      </c>
    </row>
    <row r="315" spans="1:12" x14ac:dyDescent="0.2">
      <c r="A315" s="35">
        <f t="shared" si="45"/>
        <v>298</v>
      </c>
      <c r="B315" s="36">
        <f t="shared" si="40"/>
        <v>51044</v>
      </c>
      <c r="C315" s="37">
        <f t="shared" si="46"/>
        <v>28020.213185153374</v>
      </c>
      <c r="D315" s="38">
        <f t="shared" si="49"/>
        <v>479.39572008846164</v>
      </c>
      <c r="E315" s="59">
        <f t="shared" si="41"/>
        <v>0</v>
      </c>
      <c r="F315" s="38">
        <f t="shared" si="42"/>
        <v>479.39572008846164</v>
      </c>
      <c r="G315" s="38">
        <f t="shared" si="47"/>
        <v>412.84771377372238</v>
      </c>
      <c r="H315" s="38">
        <f t="shared" si="48"/>
        <v>66.548006314739268</v>
      </c>
      <c r="I315" s="38">
        <f t="shared" si="43"/>
        <v>27607.365471379653</v>
      </c>
      <c r="J315" s="38">
        <f>SUM($H$18:$H315)</f>
        <v>54547.290057741222</v>
      </c>
      <c r="L315" s="56">
        <f t="shared" si="44"/>
        <v>0.86118356187564771</v>
      </c>
    </row>
    <row r="316" spans="1:12" x14ac:dyDescent="0.2">
      <c r="A316" s="35">
        <f t="shared" si="45"/>
        <v>299</v>
      </c>
      <c r="B316" s="36">
        <f t="shared" si="40"/>
        <v>51075</v>
      </c>
      <c r="C316" s="37">
        <f t="shared" si="46"/>
        <v>27607.365471379653</v>
      </c>
      <c r="D316" s="38">
        <f t="shared" si="49"/>
        <v>479.39572008846164</v>
      </c>
      <c r="E316" s="59">
        <f t="shared" si="41"/>
        <v>0</v>
      </c>
      <c r="F316" s="38">
        <f t="shared" si="42"/>
        <v>479.39572008846164</v>
      </c>
      <c r="G316" s="38">
        <f t="shared" si="47"/>
        <v>413.82822709393497</v>
      </c>
      <c r="H316" s="38">
        <f t="shared" si="48"/>
        <v>65.567492994526674</v>
      </c>
      <c r="I316" s="38">
        <f t="shared" si="43"/>
        <v>27193.537244285719</v>
      </c>
      <c r="J316" s="38">
        <f>SUM($H$18:$H316)</f>
        <v>54612.857550735745</v>
      </c>
      <c r="L316" s="56">
        <f t="shared" si="44"/>
        <v>0.8632288728351023</v>
      </c>
    </row>
    <row r="317" spans="1:12" x14ac:dyDescent="0.2">
      <c r="A317" s="35">
        <f t="shared" si="45"/>
        <v>300</v>
      </c>
      <c r="B317" s="36">
        <f t="shared" si="40"/>
        <v>51105</v>
      </c>
      <c r="C317" s="37">
        <f t="shared" si="46"/>
        <v>27193.537244285719</v>
      </c>
      <c r="D317" s="38">
        <f t="shared" si="49"/>
        <v>479.39572008846164</v>
      </c>
      <c r="E317" s="59">
        <f t="shared" si="41"/>
        <v>0</v>
      </c>
      <c r="F317" s="38">
        <f t="shared" si="42"/>
        <v>479.39572008846164</v>
      </c>
      <c r="G317" s="38">
        <f t="shared" si="47"/>
        <v>414.81106913328307</v>
      </c>
      <c r="H317" s="38">
        <f t="shared" si="48"/>
        <v>64.584650955178589</v>
      </c>
      <c r="I317" s="38">
        <f t="shared" si="43"/>
        <v>26778.726175152435</v>
      </c>
      <c r="J317" s="38">
        <f>SUM($H$18:$H317)</f>
        <v>54677.442201690923</v>
      </c>
      <c r="K317" s="1">
        <f>J317-J305</f>
        <v>839.37378873764828</v>
      </c>
      <c r="L317" s="56">
        <f t="shared" si="44"/>
        <v>0.86527904140808576</v>
      </c>
    </row>
    <row r="318" spans="1:12" x14ac:dyDescent="0.2">
      <c r="A318" s="35">
        <f t="shared" si="45"/>
        <v>301</v>
      </c>
      <c r="B318" s="36">
        <f t="shared" si="40"/>
        <v>51136</v>
      </c>
      <c r="C318" s="37">
        <f t="shared" si="46"/>
        <v>26778.726175152435</v>
      </c>
      <c r="D318" s="38">
        <f t="shared" si="49"/>
        <v>479.39572008846164</v>
      </c>
      <c r="E318" s="59">
        <f t="shared" si="41"/>
        <v>0</v>
      </c>
      <c r="F318" s="38">
        <f t="shared" si="42"/>
        <v>479.39572008846164</v>
      </c>
      <c r="G318" s="38">
        <f t="shared" si="47"/>
        <v>415.79624542247461</v>
      </c>
      <c r="H318" s="38">
        <f t="shared" si="48"/>
        <v>63.599474665987032</v>
      </c>
      <c r="I318" s="38">
        <f t="shared" si="43"/>
        <v>26362.929929729959</v>
      </c>
      <c r="J318" s="38">
        <f>SUM($H$18:$H318)</f>
        <v>54741.041676356908</v>
      </c>
      <c r="K318" s="34"/>
      <c r="L318" s="56">
        <f t="shared" si="44"/>
        <v>0.8673340791314299</v>
      </c>
    </row>
    <row r="319" spans="1:12" x14ac:dyDescent="0.2">
      <c r="A319" s="35">
        <f t="shared" si="45"/>
        <v>302</v>
      </c>
      <c r="B319" s="36">
        <f t="shared" si="40"/>
        <v>51167</v>
      </c>
      <c r="C319" s="37">
        <f t="shared" si="46"/>
        <v>26362.929929729959</v>
      </c>
      <c r="D319" s="38">
        <f t="shared" si="49"/>
        <v>479.39572008846164</v>
      </c>
      <c r="E319" s="59">
        <f t="shared" si="41"/>
        <v>0</v>
      </c>
      <c r="F319" s="38">
        <f t="shared" si="42"/>
        <v>479.39572008846164</v>
      </c>
      <c r="G319" s="38">
        <f t="shared" si="47"/>
        <v>416.78376150535297</v>
      </c>
      <c r="H319" s="38">
        <f t="shared" si="48"/>
        <v>62.611958583108652</v>
      </c>
      <c r="I319" s="38">
        <f t="shared" si="43"/>
        <v>25946.146168224604</v>
      </c>
      <c r="J319" s="38">
        <f>SUM($H$18:$H319)</f>
        <v>54803.653634940019</v>
      </c>
      <c r="K319" s="34"/>
      <c r="L319" s="56">
        <f t="shared" si="44"/>
        <v>0.86939399756936697</v>
      </c>
    </row>
    <row r="320" spans="1:12" x14ac:dyDescent="0.2">
      <c r="A320" s="35">
        <f t="shared" si="45"/>
        <v>303</v>
      </c>
      <c r="B320" s="36">
        <f t="shared" si="40"/>
        <v>51196</v>
      </c>
      <c r="C320" s="37">
        <f t="shared" si="46"/>
        <v>25946.146168224604</v>
      </c>
      <c r="D320" s="38">
        <f t="shared" si="49"/>
        <v>479.39572008846164</v>
      </c>
      <c r="E320" s="59">
        <f t="shared" si="41"/>
        <v>0</v>
      </c>
      <c r="F320" s="38">
        <f t="shared" si="42"/>
        <v>479.39572008846164</v>
      </c>
      <c r="G320" s="38">
        <f t="shared" si="47"/>
        <v>417.77362293892821</v>
      </c>
      <c r="H320" s="38">
        <f t="shared" si="48"/>
        <v>61.622097149533438</v>
      </c>
      <c r="I320" s="38">
        <f t="shared" si="43"/>
        <v>25528.372545285678</v>
      </c>
      <c r="J320" s="38">
        <f>SUM($H$18:$H320)</f>
        <v>54865.275732089554</v>
      </c>
      <c r="K320" s="34"/>
      <c r="L320" s="56">
        <f t="shared" si="44"/>
        <v>0.87145880831359435</v>
      </c>
    </row>
    <row r="321" spans="1:12" x14ac:dyDescent="0.2">
      <c r="A321" s="35">
        <f t="shared" si="45"/>
        <v>304</v>
      </c>
      <c r="B321" s="36">
        <f t="shared" si="40"/>
        <v>51227</v>
      </c>
      <c r="C321" s="37">
        <f t="shared" si="46"/>
        <v>25528.372545285678</v>
      </c>
      <c r="D321" s="38">
        <f t="shared" si="49"/>
        <v>479.39572008846164</v>
      </c>
      <c r="E321" s="59">
        <f t="shared" si="41"/>
        <v>0</v>
      </c>
      <c r="F321" s="38">
        <f t="shared" si="42"/>
        <v>479.39572008846164</v>
      </c>
      <c r="G321" s="38">
        <f t="shared" si="47"/>
        <v>418.76583529340814</v>
      </c>
      <c r="H321" s="38">
        <f t="shared" si="48"/>
        <v>60.629884795053492</v>
      </c>
      <c r="I321" s="38">
        <f t="shared" si="43"/>
        <v>25109.606709992269</v>
      </c>
      <c r="J321" s="38">
        <f>SUM($H$18:$H321)</f>
        <v>54925.905616884607</v>
      </c>
      <c r="K321" s="34"/>
      <c r="L321" s="56">
        <f t="shared" si="44"/>
        <v>0.87352852298333905</v>
      </c>
    </row>
    <row r="322" spans="1:12" x14ac:dyDescent="0.2">
      <c r="A322" s="35">
        <f t="shared" si="45"/>
        <v>305</v>
      </c>
      <c r="B322" s="36">
        <f t="shared" si="40"/>
        <v>51257</v>
      </c>
      <c r="C322" s="37">
        <f t="shared" si="46"/>
        <v>25109.606709992269</v>
      </c>
      <c r="D322" s="38">
        <f t="shared" si="49"/>
        <v>479.39572008846164</v>
      </c>
      <c r="E322" s="59">
        <f t="shared" si="41"/>
        <v>0</v>
      </c>
      <c r="F322" s="38">
        <f t="shared" si="42"/>
        <v>479.39572008846164</v>
      </c>
      <c r="G322" s="38">
        <f t="shared" si="47"/>
        <v>419.76040415223002</v>
      </c>
      <c r="H322" s="38">
        <f t="shared" si="48"/>
        <v>59.635315936231642</v>
      </c>
      <c r="I322" s="38">
        <f t="shared" si="43"/>
        <v>24689.846305840038</v>
      </c>
      <c r="J322" s="38">
        <f>SUM($H$18:$H322)</f>
        <v>54985.540932820841</v>
      </c>
      <c r="K322" s="34"/>
      <c r="L322" s="56">
        <f t="shared" si="44"/>
        <v>0.87560315322542459</v>
      </c>
    </row>
    <row r="323" spans="1:12" x14ac:dyDescent="0.2">
      <c r="A323" s="35">
        <f t="shared" si="45"/>
        <v>306</v>
      </c>
      <c r="B323" s="36">
        <f t="shared" si="40"/>
        <v>51288</v>
      </c>
      <c r="C323" s="37">
        <f t="shared" si="46"/>
        <v>24689.846305840038</v>
      </c>
      <c r="D323" s="38">
        <f t="shared" si="49"/>
        <v>479.39572008846164</v>
      </c>
      <c r="E323" s="59">
        <f t="shared" si="41"/>
        <v>0</v>
      </c>
      <c r="F323" s="38">
        <f t="shared" si="42"/>
        <v>479.39572008846164</v>
      </c>
      <c r="G323" s="38">
        <f t="shared" si="47"/>
        <v>420.75733511209154</v>
      </c>
      <c r="H323" s="38">
        <f t="shared" si="48"/>
        <v>58.638384976370098</v>
      </c>
      <c r="I323" s="38">
        <f t="shared" si="43"/>
        <v>24269.088970727946</v>
      </c>
      <c r="J323" s="38">
        <f>SUM($H$18:$H323)</f>
        <v>55044.179317797214</v>
      </c>
      <c r="L323" s="56">
        <f t="shared" si="44"/>
        <v>0.8776827107143349</v>
      </c>
    </row>
    <row r="324" spans="1:12" x14ac:dyDescent="0.2">
      <c r="A324" s="35">
        <f t="shared" si="45"/>
        <v>307</v>
      </c>
      <c r="B324" s="36">
        <f t="shared" si="40"/>
        <v>51318</v>
      </c>
      <c r="C324" s="37">
        <f t="shared" si="46"/>
        <v>24269.088970727946</v>
      </c>
      <c r="D324" s="38">
        <f t="shared" si="49"/>
        <v>479.39572008846164</v>
      </c>
      <c r="E324" s="59">
        <f t="shared" si="41"/>
        <v>0</v>
      </c>
      <c r="F324" s="38">
        <f t="shared" si="42"/>
        <v>479.39572008846164</v>
      </c>
      <c r="G324" s="38">
        <f t="shared" si="47"/>
        <v>421.75663378298276</v>
      </c>
      <c r="H324" s="38">
        <f t="shared" si="48"/>
        <v>57.639086305478877</v>
      </c>
      <c r="I324" s="38">
        <f t="shared" si="43"/>
        <v>23847.332336944964</v>
      </c>
      <c r="J324" s="38">
        <f>SUM($H$18:$H324)</f>
        <v>55101.818404102691</v>
      </c>
      <c r="L324" s="56">
        <f t="shared" si="44"/>
        <v>0.87976720715228141</v>
      </c>
    </row>
    <row r="325" spans="1:12" x14ac:dyDescent="0.2">
      <c r="A325" s="35">
        <f t="shared" si="45"/>
        <v>308</v>
      </c>
      <c r="B325" s="36">
        <f t="shared" si="40"/>
        <v>51349</v>
      </c>
      <c r="C325" s="37">
        <f t="shared" si="46"/>
        <v>23847.332336944964</v>
      </c>
      <c r="D325" s="38">
        <f t="shared" si="49"/>
        <v>479.39572008846164</v>
      </c>
      <c r="E325" s="59">
        <f t="shared" si="41"/>
        <v>0</v>
      </c>
      <c r="F325" s="38">
        <f t="shared" si="42"/>
        <v>479.39572008846164</v>
      </c>
      <c r="G325" s="38">
        <f t="shared" si="47"/>
        <v>422.75830578821734</v>
      </c>
      <c r="H325" s="38">
        <f t="shared" si="48"/>
        <v>56.637414300244295</v>
      </c>
      <c r="I325" s="38">
        <f t="shared" si="43"/>
        <v>23424.574031156746</v>
      </c>
      <c r="J325" s="38">
        <f>SUM($H$18:$H325)</f>
        <v>55158.455818402937</v>
      </c>
      <c r="L325" s="56">
        <f t="shared" si="44"/>
        <v>0.88185665426926807</v>
      </c>
    </row>
    <row r="326" spans="1:12" x14ac:dyDescent="0.2">
      <c r="A326" s="35">
        <f t="shared" si="45"/>
        <v>309</v>
      </c>
      <c r="B326" s="36">
        <f t="shared" si="40"/>
        <v>51380</v>
      </c>
      <c r="C326" s="37">
        <f t="shared" si="46"/>
        <v>23424.574031156746</v>
      </c>
      <c r="D326" s="38">
        <f t="shared" si="49"/>
        <v>479.39572008846164</v>
      </c>
      <c r="E326" s="59">
        <f t="shared" si="41"/>
        <v>0</v>
      </c>
      <c r="F326" s="38">
        <f t="shared" si="42"/>
        <v>479.39572008846164</v>
      </c>
      <c r="G326" s="38">
        <f t="shared" si="47"/>
        <v>423.76235676446436</v>
      </c>
      <c r="H326" s="38">
        <f t="shared" si="48"/>
        <v>55.63336332399728</v>
      </c>
      <c r="I326" s="38">
        <f t="shared" si="43"/>
        <v>23000.81167439228</v>
      </c>
      <c r="J326" s="38">
        <f>SUM($H$18:$H326)</f>
        <v>55214.089181726937</v>
      </c>
      <c r="L326" s="56">
        <f t="shared" si="44"/>
        <v>0.88395106382315758</v>
      </c>
    </row>
    <row r="327" spans="1:12" x14ac:dyDescent="0.2">
      <c r="A327" s="35">
        <f t="shared" si="45"/>
        <v>310</v>
      </c>
      <c r="B327" s="36">
        <f t="shared" si="40"/>
        <v>51410</v>
      </c>
      <c r="C327" s="37">
        <f t="shared" si="46"/>
        <v>23000.81167439228</v>
      </c>
      <c r="D327" s="38">
        <f t="shared" si="49"/>
        <v>479.39572008846164</v>
      </c>
      <c r="E327" s="59">
        <f t="shared" si="41"/>
        <v>0</v>
      </c>
      <c r="F327" s="38">
        <f t="shared" si="42"/>
        <v>479.39572008846164</v>
      </c>
      <c r="G327" s="38">
        <f t="shared" si="47"/>
        <v>424.76879236177996</v>
      </c>
      <c r="H327" s="38">
        <f t="shared" si="48"/>
        <v>54.626927726681664</v>
      </c>
      <c r="I327" s="38">
        <f t="shared" si="43"/>
        <v>22576.042882030499</v>
      </c>
      <c r="J327" s="38">
        <f>SUM($H$18:$H327)</f>
        <v>55268.71610945362</v>
      </c>
      <c r="L327" s="56">
        <f t="shared" si="44"/>
        <v>0.88605044759973761</v>
      </c>
    </row>
    <row r="328" spans="1:12" x14ac:dyDescent="0.2">
      <c r="A328" s="35">
        <f t="shared" si="45"/>
        <v>311</v>
      </c>
      <c r="B328" s="36">
        <f t="shared" si="40"/>
        <v>51441</v>
      </c>
      <c r="C328" s="37">
        <f t="shared" si="46"/>
        <v>22576.042882030499</v>
      </c>
      <c r="D328" s="38">
        <f t="shared" si="49"/>
        <v>479.39572008846164</v>
      </c>
      <c r="E328" s="59">
        <f t="shared" si="41"/>
        <v>0</v>
      </c>
      <c r="F328" s="38">
        <f t="shared" si="42"/>
        <v>479.39572008846164</v>
      </c>
      <c r="G328" s="38">
        <f t="shared" si="47"/>
        <v>425.77761824363921</v>
      </c>
      <c r="H328" s="38">
        <f t="shared" si="48"/>
        <v>53.618101844822434</v>
      </c>
      <c r="I328" s="38">
        <f t="shared" si="43"/>
        <v>22150.26526378686</v>
      </c>
      <c r="J328" s="38">
        <f>SUM($H$18:$H328)</f>
        <v>55322.334211298446</v>
      </c>
      <c r="L328" s="56">
        <f t="shared" si="44"/>
        <v>0.88815481741278701</v>
      </c>
    </row>
    <row r="329" spans="1:12" x14ac:dyDescent="0.2">
      <c r="A329" s="35">
        <f t="shared" si="45"/>
        <v>312</v>
      </c>
      <c r="B329" s="36">
        <f t="shared" si="40"/>
        <v>51471</v>
      </c>
      <c r="C329" s="37">
        <f t="shared" si="46"/>
        <v>22150.26526378686</v>
      </c>
      <c r="D329" s="38">
        <f t="shared" si="49"/>
        <v>479.39572008846164</v>
      </c>
      <c r="E329" s="59">
        <f t="shared" si="41"/>
        <v>0</v>
      </c>
      <c r="F329" s="38">
        <f t="shared" si="42"/>
        <v>479.39572008846164</v>
      </c>
      <c r="G329" s="38">
        <f t="shared" si="47"/>
        <v>426.78884008696787</v>
      </c>
      <c r="H329" s="38">
        <f t="shared" si="48"/>
        <v>52.606880001493799</v>
      </c>
      <c r="I329" s="38">
        <f t="shared" si="43"/>
        <v>21723.476423699893</v>
      </c>
      <c r="J329" s="38">
        <f>SUM($H$18:$H329)</f>
        <v>55374.941091299937</v>
      </c>
      <c r="K329" s="1">
        <f>J329-J317</f>
        <v>697.49888960901444</v>
      </c>
      <c r="L329" s="56">
        <f t="shared" si="44"/>
        <v>0.8902641851041424</v>
      </c>
    </row>
    <row r="330" spans="1:12" x14ac:dyDescent="0.2">
      <c r="A330" s="35">
        <f t="shared" si="45"/>
        <v>313</v>
      </c>
      <c r="B330" s="36">
        <f t="shared" si="40"/>
        <v>51502</v>
      </c>
      <c r="C330" s="37">
        <f t="shared" si="46"/>
        <v>21723.476423699893</v>
      </c>
      <c r="D330" s="38">
        <f t="shared" si="49"/>
        <v>479.39572008846164</v>
      </c>
      <c r="E330" s="59">
        <f t="shared" si="41"/>
        <v>0</v>
      </c>
      <c r="F330" s="38">
        <f t="shared" si="42"/>
        <v>479.39572008846164</v>
      </c>
      <c r="G330" s="38">
        <f t="shared" si="47"/>
        <v>427.80246358217437</v>
      </c>
      <c r="H330" s="38">
        <f t="shared" si="48"/>
        <v>51.593256506287247</v>
      </c>
      <c r="I330" s="38">
        <f t="shared" si="43"/>
        <v>21295.673960117718</v>
      </c>
      <c r="J330" s="38">
        <f>SUM($H$18:$H330)</f>
        <v>55426.534347806228</v>
      </c>
      <c r="K330" s="34"/>
      <c r="L330" s="56">
        <f t="shared" si="44"/>
        <v>0.89237856254376469</v>
      </c>
    </row>
    <row r="331" spans="1:12" x14ac:dyDescent="0.2">
      <c r="A331" s="35">
        <f t="shared" si="45"/>
        <v>314</v>
      </c>
      <c r="B331" s="36">
        <f t="shared" si="40"/>
        <v>51533</v>
      </c>
      <c r="C331" s="37">
        <f t="shared" si="46"/>
        <v>21295.673960117718</v>
      </c>
      <c r="D331" s="38">
        <f t="shared" si="49"/>
        <v>479.39572008846164</v>
      </c>
      <c r="E331" s="59">
        <f t="shared" si="41"/>
        <v>0</v>
      </c>
      <c r="F331" s="38">
        <f t="shared" si="42"/>
        <v>479.39572008846164</v>
      </c>
      <c r="G331" s="38">
        <f t="shared" si="47"/>
        <v>428.81849443318208</v>
      </c>
      <c r="H331" s="38">
        <f t="shared" si="48"/>
        <v>50.577225655279584</v>
      </c>
      <c r="I331" s="38">
        <f t="shared" si="43"/>
        <v>20866.855465684537</v>
      </c>
      <c r="J331" s="38">
        <f>SUM($H$18:$H331)</f>
        <v>55477.111573461509</v>
      </c>
      <c r="K331" s="34"/>
      <c r="L331" s="56">
        <f t="shared" si="44"/>
        <v>0.89449796162980622</v>
      </c>
    </row>
    <row r="332" spans="1:12" x14ac:dyDescent="0.2">
      <c r="A332" s="35">
        <f t="shared" si="45"/>
        <v>315</v>
      </c>
      <c r="B332" s="36">
        <f t="shared" si="40"/>
        <v>51561</v>
      </c>
      <c r="C332" s="37">
        <f t="shared" si="46"/>
        <v>20866.855465684537</v>
      </c>
      <c r="D332" s="38">
        <f t="shared" si="49"/>
        <v>479.39572008846164</v>
      </c>
      <c r="E332" s="59">
        <f t="shared" si="41"/>
        <v>0</v>
      </c>
      <c r="F332" s="38">
        <f t="shared" si="42"/>
        <v>479.39572008846164</v>
      </c>
      <c r="G332" s="38">
        <f t="shared" si="47"/>
        <v>429.83693835746089</v>
      </c>
      <c r="H332" s="38">
        <f t="shared" si="48"/>
        <v>49.558781731000778</v>
      </c>
      <c r="I332" s="38">
        <f t="shared" si="43"/>
        <v>20437.018527327076</v>
      </c>
      <c r="J332" s="38">
        <f>SUM($H$18:$H332)</f>
        <v>55526.670355192509</v>
      </c>
      <c r="K332" s="34"/>
      <c r="L332" s="56">
        <f t="shared" si="44"/>
        <v>0.89662239428867696</v>
      </c>
    </row>
    <row r="333" spans="1:12" x14ac:dyDescent="0.2">
      <c r="A333" s="35">
        <f t="shared" si="45"/>
        <v>316</v>
      </c>
      <c r="B333" s="36">
        <f t="shared" si="40"/>
        <v>51592</v>
      </c>
      <c r="C333" s="37">
        <f t="shared" si="46"/>
        <v>20437.018527327076</v>
      </c>
      <c r="D333" s="38">
        <f t="shared" si="49"/>
        <v>479.39572008846164</v>
      </c>
      <c r="E333" s="59">
        <f t="shared" si="41"/>
        <v>0</v>
      </c>
      <c r="F333" s="38">
        <f t="shared" si="42"/>
        <v>479.39572008846164</v>
      </c>
      <c r="G333" s="38">
        <f t="shared" si="47"/>
        <v>430.85780108605985</v>
      </c>
      <c r="H333" s="38">
        <f t="shared" si="48"/>
        <v>48.537919002401814</v>
      </c>
      <c r="I333" s="38">
        <f t="shared" si="43"/>
        <v>20006.160726241018</v>
      </c>
      <c r="J333" s="38">
        <f>SUM($H$18:$H333)</f>
        <v>55575.208274194913</v>
      </c>
      <c r="K333" s="34"/>
      <c r="L333" s="56">
        <f t="shared" si="44"/>
        <v>0.89875187247511257</v>
      </c>
    </row>
    <row r="334" spans="1:12" x14ac:dyDescent="0.2">
      <c r="A334" s="35">
        <f t="shared" si="45"/>
        <v>317</v>
      </c>
      <c r="B334" s="36">
        <f t="shared" si="40"/>
        <v>51622</v>
      </c>
      <c r="C334" s="37">
        <f t="shared" si="46"/>
        <v>20006.160726241018</v>
      </c>
      <c r="D334" s="38">
        <f t="shared" si="49"/>
        <v>479.39572008846164</v>
      </c>
      <c r="E334" s="59">
        <f t="shared" si="41"/>
        <v>0</v>
      </c>
      <c r="F334" s="38">
        <f t="shared" si="42"/>
        <v>479.39572008846164</v>
      </c>
      <c r="G334" s="38">
        <f t="shared" si="47"/>
        <v>431.88108836363921</v>
      </c>
      <c r="H334" s="38">
        <f t="shared" si="48"/>
        <v>47.514631724822415</v>
      </c>
      <c r="I334" s="38">
        <f t="shared" si="43"/>
        <v>19574.279637877378</v>
      </c>
      <c r="J334" s="38">
        <f>SUM($H$18:$H334)</f>
        <v>55622.722905919734</v>
      </c>
      <c r="K334" s="34"/>
      <c r="L334" s="56">
        <f t="shared" si="44"/>
        <v>0.90088640817224086</v>
      </c>
    </row>
    <row r="335" spans="1:12" x14ac:dyDescent="0.2">
      <c r="A335" s="35">
        <f t="shared" si="45"/>
        <v>318</v>
      </c>
      <c r="B335" s="36">
        <f t="shared" si="40"/>
        <v>51653</v>
      </c>
      <c r="C335" s="37">
        <f t="shared" si="46"/>
        <v>19574.279637877378</v>
      </c>
      <c r="D335" s="38">
        <f t="shared" si="49"/>
        <v>479.39572008846164</v>
      </c>
      <c r="E335" s="59">
        <f t="shared" si="41"/>
        <v>0</v>
      </c>
      <c r="F335" s="38">
        <f t="shared" si="42"/>
        <v>479.39572008846164</v>
      </c>
      <c r="G335" s="38">
        <f t="shared" si="47"/>
        <v>432.90680594850289</v>
      </c>
      <c r="H335" s="38">
        <f t="shared" si="48"/>
        <v>46.488914139958773</v>
      </c>
      <c r="I335" s="38">
        <f t="shared" si="43"/>
        <v>19141.372831928875</v>
      </c>
      <c r="J335" s="38">
        <f>SUM($H$18:$H335)</f>
        <v>55669.211820059696</v>
      </c>
      <c r="L335" s="56">
        <f t="shared" si="44"/>
        <v>0.90302601339165012</v>
      </c>
    </row>
    <row r="336" spans="1:12" x14ac:dyDescent="0.2">
      <c r="A336" s="35">
        <f t="shared" si="45"/>
        <v>319</v>
      </c>
      <c r="B336" s="36">
        <f t="shared" si="40"/>
        <v>51683</v>
      </c>
      <c r="C336" s="37">
        <f t="shared" si="46"/>
        <v>19141.372831928875</v>
      </c>
      <c r="D336" s="38">
        <f t="shared" si="49"/>
        <v>479.39572008846164</v>
      </c>
      <c r="E336" s="59">
        <f t="shared" si="41"/>
        <v>0</v>
      </c>
      <c r="F336" s="38">
        <f t="shared" si="42"/>
        <v>479.39572008846164</v>
      </c>
      <c r="G336" s="38">
        <f t="shared" si="47"/>
        <v>433.93495961263056</v>
      </c>
      <c r="H336" s="38">
        <f t="shared" si="48"/>
        <v>45.46076047583108</v>
      </c>
      <c r="I336" s="38">
        <f t="shared" si="43"/>
        <v>18707.437872316244</v>
      </c>
      <c r="J336" s="38">
        <f>SUM($H$18:$H336)</f>
        <v>55714.672580535524</v>
      </c>
      <c r="L336" s="56">
        <f t="shared" si="44"/>
        <v>0.90517070017345524</v>
      </c>
    </row>
    <row r="337" spans="1:12" x14ac:dyDescent="0.2">
      <c r="A337" s="35">
        <f t="shared" si="45"/>
        <v>320</v>
      </c>
      <c r="B337" s="36">
        <f t="shared" si="40"/>
        <v>51714</v>
      </c>
      <c r="C337" s="37">
        <f t="shared" si="46"/>
        <v>18707.437872316244</v>
      </c>
      <c r="D337" s="38">
        <f t="shared" si="49"/>
        <v>479.39572008846164</v>
      </c>
      <c r="E337" s="59">
        <f t="shared" si="41"/>
        <v>0</v>
      </c>
      <c r="F337" s="38">
        <f t="shared" si="42"/>
        <v>479.39572008846164</v>
      </c>
      <c r="G337" s="38">
        <f t="shared" si="47"/>
        <v>434.96555514171058</v>
      </c>
      <c r="H337" s="38">
        <f t="shared" si="48"/>
        <v>44.430164946751084</v>
      </c>
      <c r="I337" s="38">
        <f t="shared" si="43"/>
        <v>18272.472317174535</v>
      </c>
      <c r="J337" s="38">
        <f>SUM($H$18:$H337)</f>
        <v>55759.102745482276</v>
      </c>
      <c r="L337" s="56">
        <f t="shared" si="44"/>
        <v>0.90732048058636716</v>
      </c>
    </row>
    <row r="338" spans="1:12" x14ac:dyDescent="0.2">
      <c r="A338" s="35">
        <f t="shared" si="45"/>
        <v>321</v>
      </c>
      <c r="B338" s="36">
        <f t="shared" ref="B338:B401" si="50">IF(Pay_Num&lt;&gt;"",DATE(YEAR(Loan_Start),MONTH(Loan_Start)+(Pay_Num)*12/Num_Pmt_Per_Year,DAY(Loan_Start)),"")</f>
        <v>51745</v>
      </c>
      <c r="C338" s="37">
        <f t="shared" si="46"/>
        <v>18272.472317174535</v>
      </c>
      <c r="D338" s="38">
        <f t="shared" si="49"/>
        <v>479.39572008846164</v>
      </c>
      <c r="E338" s="59">
        <f t="shared" ref="E338:E401" si="51">IF(AND(Pay_Num&lt;&gt;"",Sched_Pay+Scheduled_Extra_Payments&lt;Beg_Bal),Scheduled_Extra_Payments,IF(AND(Pay_Num&lt;&gt;"",Beg_Bal-Sched_Pay&gt;0),Beg_Bal-Sched_Pay,IF(Pay_Num&lt;&gt;"",0,"")))</f>
        <v>0</v>
      </c>
      <c r="F338" s="38">
        <f t="shared" ref="F338:F401" si="52">IF(AND(Pay_Num&lt;&gt;"",Sched_Pay+Extra_Pay&lt;Beg_Bal),Sched_Pay+Extra_Pay,IF(Pay_Num&lt;&gt;"",Beg_Bal,""))</f>
        <v>479.39572008846164</v>
      </c>
      <c r="G338" s="38">
        <f t="shared" si="47"/>
        <v>435.99859833517212</v>
      </c>
      <c r="H338" s="38">
        <f t="shared" si="48"/>
        <v>43.397121753289525</v>
      </c>
      <c r="I338" s="38">
        <f t="shared" ref="I338:I401" si="53">IF(AND(Pay_Num&lt;&gt;"",Sched_Pay+Extra_Pay&lt;Beg_Bal),Beg_Bal-Princ,IF(Pay_Num&lt;&gt;"",0,""))</f>
        <v>17836.473718839363</v>
      </c>
      <c r="J338" s="38">
        <f>SUM($H$18:$H338)</f>
        <v>55802.499867235565</v>
      </c>
      <c r="L338" s="56">
        <f t="shared" ref="L338:L377" si="54">G338/F338</f>
        <v>0.90947536672775975</v>
      </c>
    </row>
    <row r="339" spans="1:12" x14ac:dyDescent="0.2">
      <c r="A339" s="35">
        <f t="shared" ref="A339:A402" si="55">IF(Values_Entered,A338+1,"")</f>
        <v>322</v>
      </c>
      <c r="B339" s="36">
        <f t="shared" si="50"/>
        <v>51775</v>
      </c>
      <c r="C339" s="37">
        <f t="shared" ref="C339:C402" si="56">IF(Pay_Num&lt;&gt;"",I338,"")</f>
        <v>17836.473718839363</v>
      </c>
      <c r="D339" s="38">
        <f t="shared" si="49"/>
        <v>479.39572008846164</v>
      </c>
      <c r="E339" s="59">
        <f t="shared" si="51"/>
        <v>0</v>
      </c>
      <c r="F339" s="38">
        <f t="shared" si="52"/>
        <v>479.39572008846164</v>
      </c>
      <c r="G339" s="38">
        <f t="shared" ref="G339:G402" si="57">IF(Pay_Num&lt;&gt;"",Total_Pay-Int,"")</f>
        <v>437.03409500621814</v>
      </c>
      <c r="H339" s="38">
        <f t="shared" ref="H339:H402" si="58">IF(Pay_Num&lt;&gt;"",Beg_Bal*Interest_Rate/Num_Pmt_Per_Year,"")</f>
        <v>42.361625082243485</v>
      </c>
      <c r="I339" s="38">
        <f t="shared" si="53"/>
        <v>17399.439623833146</v>
      </c>
      <c r="J339" s="38">
        <f>SUM($H$18:$H339)</f>
        <v>55844.86149231781</v>
      </c>
      <c r="L339" s="56">
        <f t="shared" si="54"/>
        <v>0.91163537072373813</v>
      </c>
    </row>
    <row r="340" spans="1:12" x14ac:dyDescent="0.2">
      <c r="A340" s="35">
        <f t="shared" si="55"/>
        <v>323</v>
      </c>
      <c r="B340" s="36">
        <f t="shared" si="50"/>
        <v>51806</v>
      </c>
      <c r="C340" s="37">
        <f t="shared" si="56"/>
        <v>17399.439623833146</v>
      </c>
      <c r="D340" s="38">
        <f t="shared" ref="D340:D403" si="59">IF(Pay_Num&lt;&gt;"",Scheduled_Monthly_Payment,"")</f>
        <v>479.39572008846164</v>
      </c>
      <c r="E340" s="59">
        <f t="shared" si="51"/>
        <v>0</v>
      </c>
      <c r="F340" s="38">
        <f t="shared" si="52"/>
        <v>479.39572008846164</v>
      </c>
      <c r="G340" s="38">
        <f t="shared" si="57"/>
        <v>438.0720509818579</v>
      </c>
      <c r="H340" s="38">
        <f t="shared" si="58"/>
        <v>41.323669106603724</v>
      </c>
      <c r="I340" s="38">
        <f t="shared" si="53"/>
        <v>16961.36757285129</v>
      </c>
      <c r="J340" s="38">
        <f>SUM($H$18:$H340)</f>
        <v>55886.185161424415</v>
      </c>
      <c r="L340" s="56">
        <f t="shared" si="54"/>
        <v>0.91380050472920704</v>
      </c>
    </row>
    <row r="341" spans="1:12" x14ac:dyDescent="0.2">
      <c r="A341" s="35">
        <f t="shared" si="55"/>
        <v>324</v>
      </c>
      <c r="B341" s="36">
        <f t="shared" si="50"/>
        <v>51836</v>
      </c>
      <c r="C341" s="37">
        <f t="shared" si="56"/>
        <v>16961.36757285129</v>
      </c>
      <c r="D341" s="38">
        <f t="shared" si="59"/>
        <v>479.39572008846164</v>
      </c>
      <c r="E341" s="59">
        <f t="shared" si="51"/>
        <v>0</v>
      </c>
      <c r="F341" s="38">
        <f t="shared" si="52"/>
        <v>479.39572008846164</v>
      </c>
      <c r="G341" s="38">
        <f t="shared" si="57"/>
        <v>439.11247210293982</v>
      </c>
      <c r="H341" s="38">
        <f t="shared" si="58"/>
        <v>40.283247985521818</v>
      </c>
      <c r="I341" s="38">
        <f t="shared" si="53"/>
        <v>16522.255100748349</v>
      </c>
      <c r="J341" s="38">
        <f>SUM($H$18:$H341)</f>
        <v>55926.468409409936</v>
      </c>
      <c r="K341" s="1">
        <f>J341-J329</f>
        <v>551.5273181099983</v>
      </c>
      <c r="L341" s="56">
        <f t="shared" si="54"/>
        <v>0.91597078092793893</v>
      </c>
    </row>
    <row r="342" spans="1:12" x14ac:dyDescent="0.2">
      <c r="A342" s="35">
        <f t="shared" si="55"/>
        <v>325</v>
      </c>
      <c r="B342" s="36">
        <f t="shared" si="50"/>
        <v>51867</v>
      </c>
      <c r="C342" s="37">
        <f t="shared" si="56"/>
        <v>16522.255100748349</v>
      </c>
      <c r="D342" s="38">
        <f t="shared" si="59"/>
        <v>479.39572008846164</v>
      </c>
      <c r="E342" s="59">
        <f t="shared" si="51"/>
        <v>0</v>
      </c>
      <c r="F342" s="38">
        <f t="shared" si="52"/>
        <v>479.39572008846164</v>
      </c>
      <c r="G342" s="38">
        <f t="shared" si="57"/>
        <v>440.15536422418432</v>
      </c>
      <c r="H342" s="38">
        <f t="shared" si="58"/>
        <v>39.240355864277326</v>
      </c>
      <c r="I342" s="38">
        <f t="shared" si="53"/>
        <v>16082.099736524164</v>
      </c>
      <c r="J342" s="38">
        <f>SUM($H$18:$H342)</f>
        <v>55965.708765274212</v>
      </c>
      <c r="K342" s="34"/>
      <c r="L342" s="56">
        <f t="shared" si="54"/>
        <v>0.91814621153264275</v>
      </c>
    </row>
    <row r="343" spans="1:12" x14ac:dyDescent="0.2">
      <c r="A343" s="35">
        <f t="shared" si="55"/>
        <v>326</v>
      </c>
      <c r="B343" s="36">
        <f t="shared" si="50"/>
        <v>51898</v>
      </c>
      <c r="C343" s="37">
        <f t="shared" si="56"/>
        <v>16082.099736524164</v>
      </c>
      <c r="D343" s="38">
        <f t="shared" si="59"/>
        <v>479.39572008846164</v>
      </c>
      <c r="E343" s="59">
        <f t="shared" si="51"/>
        <v>0</v>
      </c>
      <c r="F343" s="38">
        <f t="shared" si="52"/>
        <v>479.39572008846164</v>
      </c>
      <c r="G343" s="38">
        <f t="shared" si="57"/>
        <v>441.20073321421677</v>
      </c>
      <c r="H343" s="38">
        <f t="shared" si="58"/>
        <v>38.19498687424489</v>
      </c>
      <c r="I343" s="38">
        <f t="shared" si="53"/>
        <v>15640.899003309947</v>
      </c>
      <c r="J343" s="38">
        <f>SUM($H$18:$H343)</f>
        <v>56003.903752148457</v>
      </c>
      <c r="K343" s="34"/>
      <c r="L343" s="56">
        <f t="shared" si="54"/>
        <v>0.92032680878503281</v>
      </c>
    </row>
    <row r="344" spans="1:12" x14ac:dyDescent="0.2">
      <c r="A344" s="35">
        <f t="shared" si="55"/>
        <v>327</v>
      </c>
      <c r="B344" s="36">
        <f t="shared" si="50"/>
        <v>51926</v>
      </c>
      <c r="C344" s="37">
        <f t="shared" si="56"/>
        <v>15640.899003309947</v>
      </c>
      <c r="D344" s="38">
        <f t="shared" si="59"/>
        <v>479.39572008846164</v>
      </c>
      <c r="E344" s="59">
        <f t="shared" si="51"/>
        <v>0</v>
      </c>
      <c r="F344" s="38">
        <f t="shared" si="52"/>
        <v>479.39572008846164</v>
      </c>
      <c r="G344" s="38">
        <f t="shared" si="57"/>
        <v>442.24858495560051</v>
      </c>
      <c r="H344" s="38">
        <f t="shared" si="58"/>
        <v>37.147135132861123</v>
      </c>
      <c r="I344" s="38">
        <f t="shared" si="53"/>
        <v>15198.650418354347</v>
      </c>
      <c r="J344" s="38">
        <f>SUM($H$18:$H344)</f>
        <v>56041.050887281315</v>
      </c>
      <c r="K344" s="34"/>
      <c r="L344" s="56">
        <f t="shared" si="54"/>
        <v>0.92251258495589727</v>
      </c>
    </row>
    <row r="345" spans="1:12" x14ac:dyDescent="0.2">
      <c r="A345" s="35">
        <f t="shared" si="55"/>
        <v>328</v>
      </c>
      <c r="B345" s="36">
        <f t="shared" si="50"/>
        <v>51957</v>
      </c>
      <c r="C345" s="37">
        <f t="shared" si="56"/>
        <v>15198.650418354347</v>
      </c>
      <c r="D345" s="38">
        <f t="shared" si="59"/>
        <v>479.39572008846164</v>
      </c>
      <c r="E345" s="59">
        <f t="shared" si="51"/>
        <v>0</v>
      </c>
      <c r="F345" s="38">
        <f t="shared" si="52"/>
        <v>479.39572008846164</v>
      </c>
      <c r="G345" s="38">
        <f t="shared" si="57"/>
        <v>443.29892534487004</v>
      </c>
      <c r="H345" s="38">
        <f t="shared" si="58"/>
        <v>36.09679474359158</v>
      </c>
      <c r="I345" s="38">
        <f t="shared" si="53"/>
        <v>14755.351493009477</v>
      </c>
      <c r="J345" s="38">
        <f>SUM($H$18:$H345)</f>
        <v>56077.147682024908</v>
      </c>
      <c r="K345" s="34"/>
      <c r="L345" s="56">
        <f t="shared" si="54"/>
        <v>0.92470355234516743</v>
      </c>
    </row>
    <row r="346" spans="1:12" x14ac:dyDescent="0.2">
      <c r="A346" s="35">
        <f t="shared" si="55"/>
        <v>329</v>
      </c>
      <c r="B346" s="36">
        <f t="shared" si="50"/>
        <v>51987</v>
      </c>
      <c r="C346" s="37">
        <f t="shared" si="56"/>
        <v>14755.351493009477</v>
      </c>
      <c r="D346" s="38">
        <f t="shared" si="59"/>
        <v>479.39572008846164</v>
      </c>
      <c r="E346" s="59">
        <f t="shared" si="51"/>
        <v>0</v>
      </c>
      <c r="F346" s="38">
        <f t="shared" si="52"/>
        <v>479.39572008846164</v>
      </c>
      <c r="G346" s="38">
        <f t="shared" si="57"/>
        <v>444.35176029256411</v>
      </c>
      <c r="H346" s="38">
        <f t="shared" si="58"/>
        <v>35.043959795897507</v>
      </c>
      <c r="I346" s="38">
        <f t="shared" si="53"/>
        <v>14310.999732716913</v>
      </c>
      <c r="J346" s="38">
        <f>SUM($H$18:$H346)</f>
        <v>56112.191641820806</v>
      </c>
      <c r="K346" s="34"/>
      <c r="L346" s="56">
        <f t="shared" si="54"/>
        <v>0.92689972328198722</v>
      </c>
    </row>
    <row r="347" spans="1:12" x14ac:dyDescent="0.2">
      <c r="A347" s="35">
        <f t="shared" si="55"/>
        <v>330</v>
      </c>
      <c r="B347" s="36">
        <f t="shared" si="50"/>
        <v>52018</v>
      </c>
      <c r="C347" s="37">
        <f t="shared" si="56"/>
        <v>14310.999732716913</v>
      </c>
      <c r="D347" s="38">
        <f t="shared" si="59"/>
        <v>479.39572008846164</v>
      </c>
      <c r="E347" s="59">
        <f t="shared" si="51"/>
        <v>0</v>
      </c>
      <c r="F347" s="38">
        <f t="shared" si="52"/>
        <v>479.39572008846164</v>
      </c>
      <c r="G347" s="38">
        <f t="shared" si="57"/>
        <v>445.40709572325898</v>
      </c>
      <c r="H347" s="38">
        <f t="shared" si="58"/>
        <v>33.988624365202668</v>
      </c>
      <c r="I347" s="38">
        <f t="shared" si="53"/>
        <v>13865.592636993653</v>
      </c>
      <c r="J347" s="38">
        <f>SUM($H$18:$H347)</f>
        <v>56146.180266186006</v>
      </c>
      <c r="L347" s="56">
        <f t="shared" si="54"/>
        <v>0.92910111012478203</v>
      </c>
    </row>
    <row r="348" spans="1:12" x14ac:dyDescent="0.2">
      <c r="A348" s="35">
        <f t="shared" si="55"/>
        <v>331</v>
      </c>
      <c r="B348" s="36">
        <f t="shared" si="50"/>
        <v>52048</v>
      </c>
      <c r="C348" s="37">
        <f t="shared" si="56"/>
        <v>13865.592636993653</v>
      </c>
      <c r="D348" s="38">
        <f t="shared" si="59"/>
        <v>479.39572008846164</v>
      </c>
      <c r="E348" s="59">
        <f t="shared" si="51"/>
        <v>0</v>
      </c>
      <c r="F348" s="38">
        <f t="shared" si="52"/>
        <v>479.39572008846164</v>
      </c>
      <c r="G348" s="38">
        <f t="shared" si="57"/>
        <v>446.46493757560171</v>
      </c>
      <c r="H348" s="38">
        <f t="shared" si="58"/>
        <v>32.930782512859928</v>
      </c>
      <c r="I348" s="38">
        <f t="shared" si="53"/>
        <v>13419.127699418052</v>
      </c>
      <c r="J348" s="38">
        <f>SUM($H$18:$H348)</f>
        <v>56179.111048698869</v>
      </c>
      <c r="L348" s="56">
        <f t="shared" si="54"/>
        <v>0.93130772526132832</v>
      </c>
    </row>
    <row r="349" spans="1:12" x14ac:dyDescent="0.2">
      <c r="A349" s="35">
        <f t="shared" si="55"/>
        <v>332</v>
      </c>
      <c r="B349" s="36">
        <f t="shared" si="50"/>
        <v>52079</v>
      </c>
      <c r="C349" s="37">
        <f t="shared" si="56"/>
        <v>13419.127699418052</v>
      </c>
      <c r="D349" s="38">
        <f t="shared" si="59"/>
        <v>479.39572008846164</v>
      </c>
      <c r="E349" s="59">
        <f t="shared" si="51"/>
        <v>0</v>
      </c>
      <c r="F349" s="38">
        <f t="shared" si="52"/>
        <v>479.39572008846164</v>
      </c>
      <c r="G349" s="38">
        <f t="shared" si="57"/>
        <v>447.52529180234376</v>
      </c>
      <c r="H349" s="38">
        <f t="shared" si="58"/>
        <v>31.870428286117875</v>
      </c>
      <c r="I349" s="38">
        <f t="shared" si="53"/>
        <v>12971.602407615708</v>
      </c>
      <c r="J349" s="38">
        <f>SUM($H$18:$H349)</f>
        <v>56210.981476984984</v>
      </c>
      <c r="L349" s="56">
        <f t="shared" si="54"/>
        <v>0.93351958110882405</v>
      </c>
    </row>
    <row r="350" spans="1:12" x14ac:dyDescent="0.2">
      <c r="A350" s="35">
        <f t="shared" si="55"/>
        <v>333</v>
      </c>
      <c r="B350" s="36">
        <f t="shared" si="50"/>
        <v>52110</v>
      </c>
      <c r="C350" s="37">
        <f t="shared" si="56"/>
        <v>12971.602407615708</v>
      </c>
      <c r="D350" s="38">
        <f t="shared" si="59"/>
        <v>479.39572008846164</v>
      </c>
      <c r="E350" s="59">
        <f t="shared" si="51"/>
        <v>0</v>
      </c>
      <c r="F350" s="38">
        <f t="shared" si="52"/>
        <v>479.39572008846164</v>
      </c>
      <c r="G350" s="38">
        <f t="shared" si="57"/>
        <v>448.58816437037433</v>
      </c>
      <c r="H350" s="38">
        <f t="shared" si="58"/>
        <v>30.807555718087311</v>
      </c>
      <c r="I350" s="38">
        <f t="shared" si="53"/>
        <v>12523.014243245334</v>
      </c>
      <c r="J350" s="38">
        <f>SUM($H$18:$H350)</f>
        <v>56241.789032703069</v>
      </c>
      <c r="L350" s="56">
        <f t="shared" si="54"/>
        <v>0.93573669011395744</v>
      </c>
    </row>
    <row r="351" spans="1:12" x14ac:dyDescent="0.2">
      <c r="A351" s="35">
        <f t="shared" si="55"/>
        <v>334</v>
      </c>
      <c r="B351" s="36">
        <f t="shared" si="50"/>
        <v>52140</v>
      </c>
      <c r="C351" s="37">
        <f t="shared" si="56"/>
        <v>12523.014243245334</v>
      </c>
      <c r="D351" s="38">
        <f t="shared" si="59"/>
        <v>479.39572008846164</v>
      </c>
      <c r="E351" s="59">
        <f t="shared" si="51"/>
        <v>0</v>
      </c>
      <c r="F351" s="38">
        <f t="shared" si="52"/>
        <v>479.39572008846164</v>
      </c>
      <c r="G351" s="38">
        <f t="shared" si="57"/>
        <v>449.65356126075397</v>
      </c>
      <c r="H351" s="38">
        <f t="shared" si="58"/>
        <v>29.742158827707669</v>
      </c>
      <c r="I351" s="38">
        <f t="shared" si="53"/>
        <v>12073.360681984581</v>
      </c>
      <c r="J351" s="38">
        <f>SUM($H$18:$H351)</f>
        <v>56271.531191530776</v>
      </c>
      <c r="L351" s="56">
        <f t="shared" si="54"/>
        <v>0.93795906475297808</v>
      </c>
    </row>
    <row r="352" spans="1:12" x14ac:dyDescent="0.2">
      <c r="A352" s="35">
        <f t="shared" si="55"/>
        <v>335</v>
      </c>
      <c r="B352" s="36">
        <f t="shared" si="50"/>
        <v>52171</v>
      </c>
      <c r="C352" s="37">
        <f t="shared" si="56"/>
        <v>12073.360681984581</v>
      </c>
      <c r="D352" s="38">
        <f t="shared" si="59"/>
        <v>479.39572008846164</v>
      </c>
      <c r="E352" s="59">
        <f t="shared" si="51"/>
        <v>0</v>
      </c>
      <c r="F352" s="38">
        <f t="shared" si="52"/>
        <v>479.39572008846164</v>
      </c>
      <c r="G352" s="38">
        <f t="shared" si="57"/>
        <v>450.72148846874825</v>
      </c>
      <c r="H352" s="38">
        <f t="shared" si="58"/>
        <v>28.674231619713382</v>
      </c>
      <c r="I352" s="38">
        <f t="shared" si="53"/>
        <v>11622.639193515832</v>
      </c>
      <c r="J352" s="38">
        <f>SUM($H$18:$H352)</f>
        <v>56300.205423150488</v>
      </c>
      <c r="L352" s="56">
        <f t="shared" si="54"/>
        <v>0.94018671753176641</v>
      </c>
    </row>
    <row r="353" spans="1:12" x14ac:dyDescent="0.2">
      <c r="A353" s="35">
        <f t="shared" si="55"/>
        <v>336</v>
      </c>
      <c r="B353" s="36">
        <f t="shared" si="50"/>
        <v>52201</v>
      </c>
      <c r="C353" s="37">
        <f t="shared" si="56"/>
        <v>11622.639193515832</v>
      </c>
      <c r="D353" s="38">
        <f t="shared" si="59"/>
        <v>479.39572008846164</v>
      </c>
      <c r="E353" s="59">
        <f t="shared" si="51"/>
        <v>0</v>
      </c>
      <c r="F353" s="38">
        <f t="shared" si="52"/>
        <v>479.39572008846164</v>
      </c>
      <c r="G353" s="38">
        <f t="shared" si="57"/>
        <v>451.79195200386152</v>
      </c>
      <c r="H353" s="38">
        <f t="shared" si="58"/>
        <v>27.603768084600102</v>
      </c>
      <c r="I353" s="38">
        <f t="shared" si="53"/>
        <v>11170.84724151197</v>
      </c>
      <c r="J353" s="38">
        <f>SUM($H$18:$H353)</f>
        <v>56327.809191235086</v>
      </c>
      <c r="K353" s="1">
        <f>J353-J341</f>
        <v>401.34078182515077</v>
      </c>
      <c r="L353" s="56">
        <f t="shared" si="54"/>
        <v>0.94241966098590435</v>
      </c>
    </row>
    <row r="354" spans="1:12" x14ac:dyDescent="0.2">
      <c r="A354" s="35">
        <f t="shared" si="55"/>
        <v>337</v>
      </c>
      <c r="B354" s="36">
        <f t="shared" si="50"/>
        <v>52232</v>
      </c>
      <c r="C354" s="37">
        <f t="shared" si="56"/>
        <v>11170.84724151197</v>
      </c>
      <c r="D354" s="38">
        <f t="shared" si="59"/>
        <v>479.39572008846164</v>
      </c>
      <c r="E354" s="59">
        <f t="shared" si="51"/>
        <v>0</v>
      </c>
      <c r="F354" s="38">
        <f t="shared" si="52"/>
        <v>479.39572008846164</v>
      </c>
      <c r="G354" s="38">
        <f t="shared" si="57"/>
        <v>452.86495788987071</v>
      </c>
      <c r="H354" s="38">
        <f t="shared" si="58"/>
        <v>26.530762198590931</v>
      </c>
      <c r="I354" s="38">
        <f t="shared" si="53"/>
        <v>10717.982283622099</v>
      </c>
      <c r="J354" s="38">
        <f>SUM($H$18:$H354)</f>
        <v>56354.339953433679</v>
      </c>
      <c r="K354" s="34"/>
      <c r="L354" s="56">
        <f t="shared" si="54"/>
        <v>0.94465790768074587</v>
      </c>
    </row>
    <row r="355" spans="1:12" x14ac:dyDescent="0.2">
      <c r="A355" s="35">
        <f t="shared" si="55"/>
        <v>338</v>
      </c>
      <c r="B355" s="36">
        <f t="shared" si="50"/>
        <v>52263</v>
      </c>
      <c r="C355" s="37">
        <f t="shared" si="56"/>
        <v>10717.982283622099</v>
      </c>
      <c r="D355" s="38">
        <f t="shared" si="59"/>
        <v>479.39572008846164</v>
      </c>
      <c r="E355" s="59">
        <f t="shared" si="51"/>
        <v>0</v>
      </c>
      <c r="F355" s="38">
        <f t="shared" si="52"/>
        <v>479.39572008846164</v>
      </c>
      <c r="G355" s="38">
        <f t="shared" si="57"/>
        <v>453.94051216485917</v>
      </c>
      <c r="H355" s="38">
        <f t="shared" si="58"/>
        <v>25.455207923602487</v>
      </c>
      <c r="I355" s="38">
        <f t="shared" si="53"/>
        <v>10264.04177145724</v>
      </c>
      <c r="J355" s="38">
        <f>SUM($H$18:$H355)</f>
        <v>56379.79516135728</v>
      </c>
      <c r="K355" s="34"/>
      <c r="L355" s="56">
        <f t="shared" si="54"/>
        <v>0.94690147021148774</v>
      </c>
    </row>
    <row r="356" spans="1:12" x14ac:dyDescent="0.2">
      <c r="A356" s="35">
        <f t="shared" si="55"/>
        <v>339</v>
      </c>
      <c r="B356" s="36">
        <f t="shared" si="50"/>
        <v>52291</v>
      </c>
      <c r="C356" s="37">
        <f t="shared" si="56"/>
        <v>10264.04177145724</v>
      </c>
      <c r="D356" s="38">
        <f t="shared" si="59"/>
        <v>479.39572008846164</v>
      </c>
      <c r="E356" s="59">
        <f t="shared" si="51"/>
        <v>0</v>
      </c>
      <c r="F356" s="38">
        <f t="shared" si="52"/>
        <v>479.39572008846164</v>
      </c>
      <c r="G356" s="38">
        <f t="shared" si="57"/>
        <v>455.01862088125068</v>
      </c>
      <c r="H356" s="38">
        <f t="shared" si="58"/>
        <v>24.377099207210946</v>
      </c>
      <c r="I356" s="38">
        <f t="shared" si="53"/>
        <v>9809.0231505759893</v>
      </c>
      <c r="J356" s="38">
        <f>SUM($H$18:$H356)</f>
        <v>56404.17226056449</v>
      </c>
      <c r="K356" s="34"/>
      <c r="L356" s="56">
        <f t="shared" si="54"/>
        <v>0.94915036120323992</v>
      </c>
    </row>
    <row r="357" spans="1:12" x14ac:dyDescent="0.2">
      <c r="A357" s="35">
        <f t="shared" si="55"/>
        <v>340</v>
      </c>
      <c r="B357" s="36">
        <f t="shared" si="50"/>
        <v>52322</v>
      </c>
      <c r="C357" s="37">
        <f t="shared" si="56"/>
        <v>9809.0231505759893</v>
      </c>
      <c r="D357" s="38">
        <f t="shared" si="59"/>
        <v>479.39572008846164</v>
      </c>
      <c r="E357" s="59">
        <f t="shared" si="51"/>
        <v>0</v>
      </c>
      <c r="F357" s="38">
        <f t="shared" si="52"/>
        <v>479.39572008846164</v>
      </c>
      <c r="G357" s="38">
        <f t="shared" si="57"/>
        <v>456.09929010584369</v>
      </c>
      <c r="H357" s="38">
        <f t="shared" si="58"/>
        <v>23.296429982617976</v>
      </c>
      <c r="I357" s="38">
        <f t="shared" si="53"/>
        <v>9352.9238604701459</v>
      </c>
      <c r="J357" s="38">
        <f>SUM($H$18:$H357)</f>
        <v>56427.46869054711</v>
      </c>
      <c r="K357" s="34"/>
      <c r="L357" s="56">
        <f t="shared" si="54"/>
        <v>0.95140459331109772</v>
      </c>
    </row>
    <row r="358" spans="1:12" x14ac:dyDescent="0.2">
      <c r="A358" s="35">
        <f t="shared" si="55"/>
        <v>341</v>
      </c>
      <c r="B358" s="36">
        <f t="shared" si="50"/>
        <v>52352</v>
      </c>
      <c r="C358" s="37">
        <f t="shared" si="56"/>
        <v>9352.9238604701459</v>
      </c>
      <c r="D358" s="38">
        <f t="shared" si="59"/>
        <v>479.39572008846164</v>
      </c>
      <c r="E358" s="59">
        <f t="shared" si="51"/>
        <v>0</v>
      </c>
      <c r="F358" s="38">
        <f t="shared" si="52"/>
        <v>479.39572008846164</v>
      </c>
      <c r="G358" s="38">
        <f t="shared" si="57"/>
        <v>457.18252591984503</v>
      </c>
      <c r="H358" s="38">
        <f t="shared" si="58"/>
        <v>22.213194168616596</v>
      </c>
      <c r="I358" s="38">
        <f t="shared" si="53"/>
        <v>8895.741334550301</v>
      </c>
      <c r="J358" s="38">
        <f>SUM($H$18:$H358)</f>
        <v>56449.681884715726</v>
      </c>
      <c r="K358" s="34"/>
      <c r="L358" s="56">
        <f t="shared" si="54"/>
        <v>0.95366417922021152</v>
      </c>
    </row>
    <row r="359" spans="1:12" x14ac:dyDescent="0.2">
      <c r="A359" s="35">
        <f t="shared" si="55"/>
        <v>342</v>
      </c>
      <c r="B359" s="36">
        <f t="shared" si="50"/>
        <v>52383</v>
      </c>
      <c r="C359" s="37">
        <f t="shared" si="56"/>
        <v>8895.741334550301</v>
      </c>
      <c r="D359" s="38">
        <f t="shared" si="59"/>
        <v>479.39572008846164</v>
      </c>
      <c r="E359" s="59">
        <f t="shared" si="51"/>
        <v>0</v>
      </c>
      <c r="F359" s="38">
        <f t="shared" si="52"/>
        <v>479.39572008846164</v>
      </c>
      <c r="G359" s="38">
        <f t="shared" si="57"/>
        <v>458.26833441890466</v>
      </c>
      <c r="H359" s="38">
        <f t="shared" si="58"/>
        <v>21.127385669556965</v>
      </c>
      <c r="I359" s="38">
        <f t="shared" si="53"/>
        <v>8437.4730001313965</v>
      </c>
      <c r="J359" s="38">
        <f>SUM($H$18:$H359)</f>
        <v>56470.809270385282</v>
      </c>
      <c r="L359" s="56">
        <f t="shared" si="54"/>
        <v>0.95592913164585946</v>
      </c>
    </row>
    <row r="360" spans="1:12" x14ac:dyDescent="0.2">
      <c r="A360" s="35">
        <f t="shared" si="55"/>
        <v>343</v>
      </c>
      <c r="B360" s="36">
        <f t="shared" si="50"/>
        <v>52413</v>
      </c>
      <c r="C360" s="37">
        <f t="shared" si="56"/>
        <v>8437.4730001313965</v>
      </c>
      <c r="D360" s="38">
        <f t="shared" si="59"/>
        <v>479.39572008846164</v>
      </c>
      <c r="E360" s="59">
        <f t="shared" si="51"/>
        <v>0</v>
      </c>
      <c r="F360" s="38">
        <f t="shared" si="52"/>
        <v>479.39572008846164</v>
      </c>
      <c r="G360" s="38">
        <f t="shared" si="57"/>
        <v>459.35672171314957</v>
      </c>
      <c r="H360" s="38">
        <f t="shared" si="58"/>
        <v>20.038998375312065</v>
      </c>
      <c r="I360" s="38">
        <f t="shared" si="53"/>
        <v>7978.116278418247</v>
      </c>
      <c r="J360" s="38">
        <f>SUM($H$18:$H360)</f>
        <v>56490.848268760594</v>
      </c>
      <c r="L360" s="56">
        <f t="shared" si="54"/>
        <v>0.95819946333351846</v>
      </c>
    </row>
    <row r="361" spans="1:12" x14ac:dyDescent="0.2">
      <c r="A361" s="35">
        <f t="shared" si="55"/>
        <v>344</v>
      </c>
      <c r="B361" s="36">
        <f t="shared" si="50"/>
        <v>52444</v>
      </c>
      <c r="C361" s="37">
        <f t="shared" si="56"/>
        <v>7978.116278418247</v>
      </c>
      <c r="D361" s="38">
        <f t="shared" si="59"/>
        <v>479.39572008846164</v>
      </c>
      <c r="E361" s="59">
        <f t="shared" si="51"/>
        <v>0</v>
      </c>
      <c r="F361" s="38">
        <f t="shared" si="52"/>
        <v>479.39572008846164</v>
      </c>
      <c r="G361" s="38">
        <f t="shared" si="57"/>
        <v>460.44769392721832</v>
      </c>
      <c r="H361" s="38">
        <f t="shared" si="58"/>
        <v>18.948026161243337</v>
      </c>
      <c r="I361" s="38">
        <f t="shared" si="53"/>
        <v>7517.6685844910289</v>
      </c>
      <c r="J361" s="38">
        <f>SUM($H$18:$H361)</f>
        <v>56509.796294921834</v>
      </c>
      <c r="L361" s="56">
        <f t="shared" si="54"/>
        <v>0.96047518705893564</v>
      </c>
    </row>
    <row r="362" spans="1:12" x14ac:dyDescent="0.2">
      <c r="A362" s="35">
        <f t="shared" si="55"/>
        <v>345</v>
      </c>
      <c r="B362" s="36">
        <f t="shared" si="50"/>
        <v>52475</v>
      </c>
      <c r="C362" s="37">
        <f t="shared" si="56"/>
        <v>7517.6685844910289</v>
      </c>
      <c r="D362" s="38">
        <f t="shared" si="59"/>
        <v>479.39572008846164</v>
      </c>
      <c r="E362" s="59">
        <f t="shared" si="51"/>
        <v>0</v>
      </c>
      <c r="F362" s="38">
        <f t="shared" si="52"/>
        <v>479.39572008846164</v>
      </c>
      <c r="G362" s="38">
        <f t="shared" si="57"/>
        <v>461.54125720029543</v>
      </c>
      <c r="H362" s="38">
        <f t="shared" si="58"/>
        <v>17.854462888166193</v>
      </c>
      <c r="I362" s="38">
        <f t="shared" si="53"/>
        <v>7056.1273272907338</v>
      </c>
      <c r="J362" s="38">
        <f>SUM($H$18:$H362)</f>
        <v>56527.650757809999</v>
      </c>
      <c r="L362" s="56">
        <f t="shared" si="54"/>
        <v>0.96275631562820052</v>
      </c>
    </row>
    <row r="363" spans="1:12" x14ac:dyDescent="0.2">
      <c r="A363" s="35">
        <f t="shared" si="55"/>
        <v>346</v>
      </c>
      <c r="B363" s="36">
        <f t="shared" si="50"/>
        <v>52505</v>
      </c>
      <c r="C363" s="37">
        <f t="shared" si="56"/>
        <v>7056.1273272907338</v>
      </c>
      <c r="D363" s="38">
        <f t="shared" si="59"/>
        <v>479.39572008846164</v>
      </c>
      <c r="E363" s="59">
        <f t="shared" si="51"/>
        <v>0</v>
      </c>
      <c r="F363" s="38">
        <f t="shared" si="52"/>
        <v>479.39572008846164</v>
      </c>
      <c r="G363" s="38">
        <f t="shared" si="57"/>
        <v>462.63741768614614</v>
      </c>
      <c r="H363" s="38">
        <f t="shared" si="58"/>
        <v>16.758302402315493</v>
      </c>
      <c r="I363" s="38">
        <f t="shared" si="53"/>
        <v>6593.4899096045874</v>
      </c>
      <c r="J363" s="38">
        <f>SUM($H$18:$H363)</f>
        <v>56544.409060212318</v>
      </c>
      <c r="L363" s="56">
        <f t="shared" si="54"/>
        <v>0.96504286187781751</v>
      </c>
    </row>
    <row r="364" spans="1:12" x14ac:dyDescent="0.2">
      <c r="A364" s="35">
        <f t="shared" si="55"/>
        <v>347</v>
      </c>
      <c r="B364" s="36">
        <f t="shared" si="50"/>
        <v>52536</v>
      </c>
      <c r="C364" s="37">
        <f t="shared" si="56"/>
        <v>6593.4899096045874</v>
      </c>
      <c r="D364" s="38">
        <f t="shared" si="59"/>
        <v>479.39572008846164</v>
      </c>
      <c r="E364" s="59">
        <f t="shared" si="51"/>
        <v>0</v>
      </c>
      <c r="F364" s="38">
        <f t="shared" si="52"/>
        <v>479.39572008846164</v>
      </c>
      <c r="G364" s="38">
        <f t="shared" si="57"/>
        <v>463.73618155315074</v>
      </c>
      <c r="H364" s="38">
        <f t="shared" si="58"/>
        <v>15.659538535310896</v>
      </c>
      <c r="I364" s="38">
        <f t="shared" si="53"/>
        <v>6129.7537280514371</v>
      </c>
      <c r="J364" s="38">
        <f>SUM($H$18:$H364)</f>
        <v>56560.068598747632</v>
      </c>
      <c r="L364" s="56">
        <f t="shared" si="54"/>
        <v>0.96733483867477732</v>
      </c>
    </row>
    <row r="365" spans="1:12" x14ac:dyDescent="0.2">
      <c r="A365" s="35">
        <f t="shared" si="55"/>
        <v>348</v>
      </c>
      <c r="B365" s="36">
        <f t="shared" si="50"/>
        <v>52566</v>
      </c>
      <c r="C365" s="37">
        <f t="shared" si="56"/>
        <v>6129.7537280514371</v>
      </c>
      <c r="D365" s="38">
        <f t="shared" si="59"/>
        <v>479.39572008846164</v>
      </c>
      <c r="E365" s="59">
        <f t="shared" si="51"/>
        <v>0</v>
      </c>
      <c r="F365" s="38">
        <f t="shared" si="52"/>
        <v>479.39572008846164</v>
      </c>
      <c r="G365" s="38">
        <f t="shared" si="57"/>
        <v>464.83755498433948</v>
      </c>
      <c r="H365" s="38">
        <f t="shared" si="58"/>
        <v>14.558165104122162</v>
      </c>
      <c r="I365" s="38">
        <f t="shared" si="53"/>
        <v>5664.9161730670976</v>
      </c>
      <c r="J365" s="38">
        <f>SUM($H$18:$H365)</f>
        <v>56574.626763851753</v>
      </c>
      <c r="K365" s="1">
        <f>J365-J353</f>
        <v>246.81757261666644</v>
      </c>
      <c r="L365" s="56">
        <f t="shared" si="54"/>
        <v>0.96963225891662985</v>
      </c>
    </row>
    <row r="366" spans="1:12" x14ac:dyDescent="0.2">
      <c r="A366" s="35">
        <f t="shared" si="55"/>
        <v>349</v>
      </c>
      <c r="B366" s="36">
        <f t="shared" si="50"/>
        <v>52597</v>
      </c>
      <c r="C366" s="37">
        <f t="shared" si="56"/>
        <v>5664.9161730670976</v>
      </c>
      <c r="D366" s="38">
        <f t="shared" si="59"/>
        <v>479.39572008846164</v>
      </c>
      <c r="E366" s="59">
        <f t="shared" si="51"/>
        <v>0</v>
      </c>
      <c r="F366" s="38">
        <f t="shared" si="52"/>
        <v>479.39572008846164</v>
      </c>
      <c r="G366" s="38">
        <f t="shared" si="57"/>
        <v>465.94154417742726</v>
      </c>
      <c r="H366" s="38">
        <f t="shared" si="58"/>
        <v>13.454175911034357</v>
      </c>
      <c r="I366" s="38">
        <f t="shared" si="53"/>
        <v>5198.9746288896704</v>
      </c>
      <c r="J366" s="38">
        <f>SUM($H$18:$H366)</f>
        <v>56588.080939762789</v>
      </c>
      <c r="K366" s="34"/>
      <c r="L366" s="56">
        <f t="shared" si="54"/>
        <v>0.97193513553155686</v>
      </c>
    </row>
    <row r="367" spans="1:12" x14ac:dyDescent="0.2">
      <c r="A367" s="35">
        <f t="shared" si="55"/>
        <v>350</v>
      </c>
      <c r="B367" s="36">
        <f t="shared" si="50"/>
        <v>52628</v>
      </c>
      <c r="C367" s="37">
        <f t="shared" si="56"/>
        <v>5198.9746288896704</v>
      </c>
      <c r="D367" s="38">
        <f t="shared" si="59"/>
        <v>479.39572008846164</v>
      </c>
      <c r="E367" s="59">
        <f t="shared" si="51"/>
        <v>0</v>
      </c>
      <c r="F367" s="38">
        <f t="shared" si="52"/>
        <v>479.39572008846164</v>
      </c>
      <c r="G367" s="38">
        <f t="shared" si="57"/>
        <v>467.04815534484868</v>
      </c>
      <c r="H367" s="38">
        <f t="shared" si="58"/>
        <v>12.347564743612969</v>
      </c>
      <c r="I367" s="38">
        <f t="shared" si="53"/>
        <v>4731.9264735448214</v>
      </c>
      <c r="J367" s="38">
        <f>SUM($H$18:$H367)</f>
        <v>56600.428504506403</v>
      </c>
      <c r="K367" s="34"/>
      <c r="L367" s="56">
        <f t="shared" si="54"/>
        <v>0.97424348147844442</v>
      </c>
    </row>
    <row r="368" spans="1:12" x14ac:dyDescent="0.2">
      <c r="A368" s="35">
        <f t="shared" si="55"/>
        <v>351</v>
      </c>
      <c r="B368" s="36">
        <f t="shared" si="50"/>
        <v>52657</v>
      </c>
      <c r="C368" s="37">
        <f t="shared" si="56"/>
        <v>4731.9264735448214</v>
      </c>
      <c r="D368" s="38">
        <f t="shared" si="59"/>
        <v>479.39572008846164</v>
      </c>
      <c r="E368" s="59">
        <f t="shared" si="51"/>
        <v>0</v>
      </c>
      <c r="F368" s="38">
        <f t="shared" si="52"/>
        <v>479.39572008846164</v>
      </c>
      <c r="G368" s="38">
        <f t="shared" si="57"/>
        <v>468.15739471379271</v>
      </c>
      <c r="H368" s="38">
        <f t="shared" si="58"/>
        <v>11.238325374668952</v>
      </c>
      <c r="I368" s="38">
        <f t="shared" si="53"/>
        <v>4263.7690788310283</v>
      </c>
      <c r="J368" s="38">
        <f>SUM($H$18:$H368)</f>
        <v>56611.666829881069</v>
      </c>
      <c r="K368" s="34"/>
      <c r="L368" s="56">
        <f t="shared" si="54"/>
        <v>0.97655730974695565</v>
      </c>
    </row>
    <row r="369" spans="1:12" x14ac:dyDescent="0.2">
      <c r="A369" s="35">
        <f t="shared" si="55"/>
        <v>352</v>
      </c>
      <c r="B369" s="36">
        <f t="shared" si="50"/>
        <v>52688</v>
      </c>
      <c r="C369" s="37">
        <f t="shared" si="56"/>
        <v>4263.7690788310283</v>
      </c>
      <c r="D369" s="38">
        <f t="shared" si="59"/>
        <v>479.39572008846164</v>
      </c>
      <c r="E369" s="59">
        <f t="shared" si="51"/>
        <v>0</v>
      </c>
      <c r="F369" s="38">
        <f t="shared" si="52"/>
        <v>479.39572008846164</v>
      </c>
      <c r="G369" s="38">
        <f t="shared" si="57"/>
        <v>469.26926852623797</v>
      </c>
      <c r="H369" s="38">
        <f t="shared" si="58"/>
        <v>10.126451562223693</v>
      </c>
      <c r="I369" s="38">
        <f t="shared" si="53"/>
        <v>3794.4998103047901</v>
      </c>
      <c r="J369" s="38">
        <f>SUM($H$18:$H369)</f>
        <v>56621.793281443293</v>
      </c>
      <c r="K369" s="34"/>
      <c r="L369" s="56">
        <f t="shared" si="54"/>
        <v>0.97887663335760466</v>
      </c>
    </row>
    <row r="370" spans="1:12" x14ac:dyDescent="0.2">
      <c r="A370" s="35">
        <f t="shared" si="55"/>
        <v>353</v>
      </c>
      <c r="B370" s="36">
        <f t="shared" si="50"/>
        <v>52718</v>
      </c>
      <c r="C370" s="37">
        <f t="shared" si="56"/>
        <v>3794.4998103047901</v>
      </c>
      <c r="D370" s="38">
        <f t="shared" si="59"/>
        <v>479.39572008846164</v>
      </c>
      <c r="E370" s="59">
        <f t="shared" si="51"/>
        <v>0</v>
      </c>
      <c r="F370" s="38">
        <f t="shared" si="52"/>
        <v>479.39572008846164</v>
      </c>
      <c r="G370" s="38">
        <f t="shared" si="57"/>
        <v>470.38378303898776</v>
      </c>
      <c r="H370" s="38">
        <f t="shared" si="58"/>
        <v>9.0119370494738771</v>
      </c>
      <c r="I370" s="38">
        <f t="shared" si="53"/>
        <v>3324.1160272658026</v>
      </c>
      <c r="J370" s="38">
        <f>SUM($H$18:$H370)</f>
        <v>56630.805218492766</v>
      </c>
      <c r="K370" s="34"/>
      <c r="L370" s="56">
        <f t="shared" si="54"/>
        <v>0.98120146536182895</v>
      </c>
    </row>
    <row r="371" spans="1:12" x14ac:dyDescent="0.2">
      <c r="A371" s="35">
        <f t="shared" si="55"/>
        <v>354</v>
      </c>
      <c r="B371" s="36">
        <f t="shared" si="50"/>
        <v>52749</v>
      </c>
      <c r="C371" s="37">
        <f t="shared" si="56"/>
        <v>3324.1160272658026</v>
      </c>
      <c r="D371" s="38">
        <f t="shared" si="59"/>
        <v>479.39572008846164</v>
      </c>
      <c r="E371" s="59">
        <f t="shared" si="51"/>
        <v>0</v>
      </c>
      <c r="F371" s="38">
        <f t="shared" si="52"/>
        <v>479.39572008846164</v>
      </c>
      <c r="G371" s="38">
        <f t="shared" si="57"/>
        <v>471.50094452370536</v>
      </c>
      <c r="H371" s="38">
        <f t="shared" si="58"/>
        <v>7.894775564756281</v>
      </c>
      <c r="I371" s="38">
        <f t="shared" si="53"/>
        <v>2852.615082742097</v>
      </c>
      <c r="J371" s="38">
        <f>SUM($H$18:$H371)</f>
        <v>56638.699994057519</v>
      </c>
      <c r="L371" s="56">
        <f t="shared" si="54"/>
        <v>0.98353181884206331</v>
      </c>
    </row>
    <row r="372" spans="1:12" x14ac:dyDescent="0.2">
      <c r="A372" s="35">
        <f t="shared" si="55"/>
        <v>355</v>
      </c>
      <c r="B372" s="36">
        <f t="shared" si="50"/>
        <v>52779</v>
      </c>
      <c r="C372" s="37">
        <f t="shared" si="56"/>
        <v>2852.615082742097</v>
      </c>
      <c r="D372" s="38">
        <f t="shared" si="59"/>
        <v>479.39572008846164</v>
      </c>
      <c r="E372" s="59">
        <f t="shared" si="51"/>
        <v>0</v>
      </c>
      <c r="F372" s="38">
        <f t="shared" si="52"/>
        <v>479.39572008846164</v>
      </c>
      <c r="G372" s="38">
        <f t="shared" si="57"/>
        <v>472.62075926694916</v>
      </c>
      <c r="H372" s="38">
        <f t="shared" si="58"/>
        <v>6.7749608215124804</v>
      </c>
      <c r="I372" s="38">
        <f t="shared" si="53"/>
        <v>2379.9943234751477</v>
      </c>
      <c r="J372" s="38">
        <f>SUM($H$18:$H372)</f>
        <v>56645.474954879028</v>
      </c>
      <c r="L372" s="56">
        <f t="shared" si="54"/>
        <v>0.98586770691181325</v>
      </c>
    </row>
    <row r="373" spans="1:12" x14ac:dyDescent="0.2">
      <c r="A373" s="35">
        <f t="shared" si="55"/>
        <v>356</v>
      </c>
      <c r="B373" s="36">
        <f t="shared" si="50"/>
        <v>52810</v>
      </c>
      <c r="C373" s="37">
        <f t="shared" si="56"/>
        <v>2379.9943234751477</v>
      </c>
      <c r="D373" s="38">
        <f t="shared" si="59"/>
        <v>479.39572008846164</v>
      </c>
      <c r="E373" s="59">
        <f t="shared" si="51"/>
        <v>0</v>
      </c>
      <c r="F373" s="38">
        <f t="shared" si="52"/>
        <v>479.39572008846164</v>
      </c>
      <c r="G373" s="38">
        <f t="shared" si="57"/>
        <v>473.74323357020819</v>
      </c>
      <c r="H373" s="38">
        <f t="shared" si="58"/>
        <v>5.6524865182534754</v>
      </c>
      <c r="I373" s="38">
        <f t="shared" si="53"/>
        <v>1906.2510899049394</v>
      </c>
      <c r="J373" s="38">
        <f>SUM($H$18:$H373)</f>
        <v>56651.127441397279</v>
      </c>
      <c r="L373" s="56">
        <f t="shared" si="54"/>
        <v>0.98820914271572879</v>
      </c>
    </row>
    <row r="374" spans="1:12" x14ac:dyDescent="0.2">
      <c r="A374" s="35">
        <f t="shared" si="55"/>
        <v>357</v>
      </c>
      <c r="B374" s="36">
        <f t="shared" si="50"/>
        <v>52841</v>
      </c>
      <c r="C374" s="37">
        <f t="shared" si="56"/>
        <v>1906.2510899049394</v>
      </c>
      <c r="D374" s="38">
        <f t="shared" si="59"/>
        <v>479.39572008846164</v>
      </c>
      <c r="E374" s="59">
        <f t="shared" si="51"/>
        <v>0</v>
      </c>
      <c r="F374" s="38">
        <f t="shared" si="52"/>
        <v>479.39572008846164</v>
      </c>
      <c r="G374" s="38">
        <f t="shared" si="57"/>
        <v>474.8683737499374</v>
      </c>
      <c r="H374" s="38">
        <f t="shared" si="58"/>
        <v>4.5273463385242314</v>
      </c>
      <c r="I374" s="38">
        <f t="shared" si="53"/>
        <v>1431.3827161550021</v>
      </c>
      <c r="J374" s="38">
        <f>SUM($H$18:$H374)</f>
        <v>56655.654787735803</v>
      </c>
      <c r="L374" s="56">
        <f t="shared" si="54"/>
        <v>0.99055613942967868</v>
      </c>
    </row>
    <row r="375" spans="1:12" x14ac:dyDescent="0.2">
      <c r="A375" s="35">
        <f t="shared" si="55"/>
        <v>358</v>
      </c>
      <c r="B375" s="36">
        <f t="shared" si="50"/>
        <v>52871</v>
      </c>
      <c r="C375" s="37">
        <f t="shared" si="56"/>
        <v>1431.3827161550021</v>
      </c>
      <c r="D375" s="38">
        <f t="shared" si="59"/>
        <v>479.39572008846164</v>
      </c>
      <c r="E375" s="59">
        <f t="shared" si="51"/>
        <v>0</v>
      </c>
      <c r="F375" s="38">
        <f t="shared" si="52"/>
        <v>479.39572008846164</v>
      </c>
      <c r="G375" s="38">
        <f t="shared" si="57"/>
        <v>475.9961861375935</v>
      </c>
      <c r="H375" s="38">
        <f t="shared" si="58"/>
        <v>3.3995339508681304</v>
      </c>
      <c r="I375" s="38">
        <f t="shared" si="53"/>
        <v>955.38653001740863</v>
      </c>
      <c r="J375" s="38">
        <f>SUM($H$18:$H375)</f>
        <v>56659.054321686672</v>
      </c>
      <c r="L375" s="56">
        <f t="shared" si="54"/>
        <v>0.99290871026082406</v>
      </c>
    </row>
    <row r="376" spans="1:12" x14ac:dyDescent="0.2">
      <c r="A376" s="35">
        <f t="shared" si="55"/>
        <v>359</v>
      </c>
      <c r="B376" s="36">
        <f t="shared" si="50"/>
        <v>52902</v>
      </c>
      <c r="C376" s="37">
        <f t="shared" si="56"/>
        <v>955.38653001740863</v>
      </c>
      <c r="D376" s="38">
        <f t="shared" si="59"/>
        <v>479.39572008846164</v>
      </c>
      <c r="E376" s="59">
        <f t="shared" si="51"/>
        <v>0</v>
      </c>
      <c r="F376" s="38">
        <f t="shared" si="52"/>
        <v>479.39572008846164</v>
      </c>
      <c r="G376" s="38">
        <f t="shared" si="57"/>
        <v>477.12667707967029</v>
      </c>
      <c r="H376" s="38">
        <f t="shared" si="58"/>
        <v>2.2690430087913458</v>
      </c>
      <c r="I376" s="38">
        <f t="shared" si="53"/>
        <v>478.25985293773834</v>
      </c>
      <c r="J376" s="38">
        <f>SUM($H$18:$H376)</f>
        <v>56661.323364695461</v>
      </c>
      <c r="L376" s="56">
        <f t="shared" si="54"/>
        <v>0.99526686844769352</v>
      </c>
    </row>
    <row r="377" spans="1:12" x14ac:dyDescent="0.2">
      <c r="A377" s="35">
        <f t="shared" si="55"/>
        <v>360</v>
      </c>
      <c r="B377" s="36">
        <f t="shared" si="50"/>
        <v>52932</v>
      </c>
      <c r="C377" s="37">
        <f t="shared" si="56"/>
        <v>478.25985293773834</v>
      </c>
      <c r="D377" s="38">
        <f t="shared" si="59"/>
        <v>479.39572008846164</v>
      </c>
      <c r="E377" s="59">
        <f t="shared" si="51"/>
        <v>0</v>
      </c>
      <c r="F377" s="38">
        <f t="shared" si="52"/>
        <v>478.25985293773834</v>
      </c>
      <c r="G377" s="38">
        <f t="shared" si="57"/>
        <v>477.12398578701124</v>
      </c>
      <c r="H377" s="38">
        <f t="shared" si="58"/>
        <v>1.1358671507271285</v>
      </c>
      <c r="I377" s="38">
        <f t="shared" si="53"/>
        <v>0</v>
      </c>
      <c r="J377" s="38">
        <f>SUM($H$18:$H377)</f>
        <v>56662.459231846187</v>
      </c>
      <c r="K377" s="1">
        <f>J377-J365</f>
        <v>87.83246799443441</v>
      </c>
      <c r="L377" s="56">
        <f t="shared" si="54"/>
        <v>0.9976250000000001</v>
      </c>
    </row>
    <row r="378" spans="1:12" x14ac:dyDescent="0.2">
      <c r="A378" s="39">
        <f t="shared" si="55"/>
        <v>361</v>
      </c>
      <c r="B378" s="40">
        <f t="shared" si="50"/>
        <v>52963</v>
      </c>
      <c r="C378" s="41">
        <f t="shared" si="56"/>
        <v>0</v>
      </c>
      <c r="D378" s="42">
        <f t="shared" si="59"/>
        <v>479.39572008846164</v>
      </c>
      <c r="E378" s="60">
        <f t="shared" si="51"/>
        <v>0</v>
      </c>
      <c r="F378" s="42">
        <f t="shared" si="52"/>
        <v>0</v>
      </c>
      <c r="G378" s="42">
        <f t="shared" si="57"/>
        <v>0</v>
      </c>
      <c r="H378" s="42">
        <f t="shared" si="58"/>
        <v>0</v>
      </c>
      <c r="I378" s="42">
        <f t="shared" si="53"/>
        <v>0</v>
      </c>
      <c r="J378" s="42">
        <f>SUM($H$18:$H378)</f>
        <v>56662.459231846187</v>
      </c>
    </row>
    <row r="379" spans="1:12" x14ac:dyDescent="0.2">
      <c r="A379" s="39">
        <f t="shared" si="55"/>
        <v>362</v>
      </c>
      <c r="B379" s="40">
        <f t="shared" si="50"/>
        <v>52994</v>
      </c>
      <c r="C379" s="41">
        <f t="shared" si="56"/>
        <v>0</v>
      </c>
      <c r="D379" s="42">
        <f t="shared" si="59"/>
        <v>479.39572008846164</v>
      </c>
      <c r="E379" s="60">
        <f t="shared" si="51"/>
        <v>0</v>
      </c>
      <c r="F379" s="42">
        <f t="shared" si="52"/>
        <v>0</v>
      </c>
      <c r="G379" s="42">
        <f t="shared" si="57"/>
        <v>0</v>
      </c>
      <c r="H379" s="42">
        <f t="shared" si="58"/>
        <v>0</v>
      </c>
      <c r="I379" s="42">
        <f t="shared" si="53"/>
        <v>0</v>
      </c>
      <c r="J379" s="42">
        <f>SUM($H$18:$H379)</f>
        <v>56662.459231846187</v>
      </c>
    </row>
    <row r="380" spans="1:12" x14ac:dyDescent="0.2">
      <c r="A380" s="39">
        <f t="shared" si="55"/>
        <v>363</v>
      </c>
      <c r="B380" s="40">
        <f t="shared" si="50"/>
        <v>53022</v>
      </c>
      <c r="C380" s="41">
        <f t="shared" si="56"/>
        <v>0</v>
      </c>
      <c r="D380" s="42">
        <f t="shared" si="59"/>
        <v>479.39572008846164</v>
      </c>
      <c r="E380" s="60">
        <f t="shared" si="51"/>
        <v>0</v>
      </c>
      <c r="F380" s="42">
        <f t="shared" si="52"/>
        <v>0</v>
      </c>
      <c r="G380" s="42">
        <f t="shared" si="57"/>
        <v>0</v>
      </c>
      <c r="H380" s="42">
        <f t="shared" si="58"/>
        <v>0</v>
      </c>
      <c r="I380" s="42">
        <f t="shared" si="53"/>
        <v>0</v>
      </c>
      <c r="J380" s="42">
        <f>SUM($H$18:$H380)</f>
        <v>56662.459231846187</v>
      </c>
    </row>
    <row r="381" spans="1:12" x14ac:dyDescent="0.2">
      <c r="A381" s="39">
        <f t="shared" si="55"/>
        <v>364</v>
      </c>
      <c r="B381" s="40">
        <f t="shared" si="50"/>
        <v>53053</v>
      </c>
      <c r="C381" s="41">
        <f t="shared" si="56"/>
        <v>0</v>
      </c>
      <c r="D381" s="42">
        <f t="shared" si="59"/>
        <v>479.39572008846164</v>
      </c>
      <c r="E381" s="60">
        <f t="shared" si="51"/>
        <v>0</v>
      </c>
      <c r="F381" s="42">
        <f t="shared" si="52"/>
        <v>0</v>
      </c>
      <c r="G381" s="42">
        <f t="shared" si="57"/>
        <v>0</v>
      </c>
      <c r="H381" s="42">
        <f t="shared" si="58"/>
        <v>0</v>
      </c>
      <c r="I381" s="42">
        <f t="shared" si="53"/>
        <v>0</v>
      </c>
      <c r="J381" s="42">
        <f>SUM($H$18:$H381)</f>
        <v>56662.459231846187</v>
      </c>
    </row>
    <row r="382" spans="1:12" x14ac:dyDescent="0.2">
      <c r="A382" s="39">
        <f t="shared" si="55"/>
        <v>365</v>
      </c>
      <c r="B382" s="40">
        <f t="shared" si="50"/>
        <v>53083</v>
      </c>
      <c r="C382" s="41">
        <f t="shared" si="56"/>
        <v>0</v>
      </c>
      <c r="D382" s="42">
        <f t="shared" si="59"/>
        <v>479.39572008846164</v>
      </c>
      <c r="E382" s="60">
        <f t="shared" si="51"/>
        <v>0</v>
      </c>
      <c r="F382" s="42">
        <f t="shared" si="52"/>
        <v>0</v>
      </c>
      <c r="G382" s="42">
        <f t="shared" si="57"/>
        <v>0</v>
      </c>
      <c r="H382" s="42">
        <f t="shared" si="58"/>
        <v>0</v>
      </c>
      <c r="I382" s="42">
        <f t="shared" si="53"/>
        <v>0</v>
      </c>
      <c r="J382" s="42">
        <f>SUM($H$18:$H382)</f>
        <v>56662.459231846187</v>
      </c>
    </row>
    <row r="383" spans="1:12" x14ac:dyDescent="0.2">
      <c r="A383" s="39">
        <f t="shared" si="55"/>
        <v>366</v>
      </c>
      <c r="B383" s="40">
        <f t="shared" si="50"/>
        <v>53114</v>
      </c>
      <c r="C383" s="41">
        <f t="shared" si="56"/>
        <v>0</v>
      </c>
      <c r="D383" s="42">
        <f t="shared" si="59"/>
        <v>479.39572008846164</v>
      </c>
      <c r="E383" s="60">
        <f t="shared" si="51"/>
        <v>0</v>
      </c>
      <c r="F383" s="42">
        <f t="shared" si="52"/>
        <v>0</v>
      </c>
      <c r="G383" s="42">
        <f t="shared" si="57"/>
        <v>0</v>
      </c>
      <c r="H383" s="42">
        <f t="shared" si="58"/>
        <v>0</v>
      </c>
      <c r="I383" s="42">
        <f t="shared" si="53"/>
        <v>0</v>
      </c>
      <c r="J383" s="42">
        <f>SUM($H$18:$H383)</f>
        <v>56662.459231846187</v>
      </c>
    </row>
    <row r="384" spans="1:12" x14ac:dyDescent="0.2">
      <c r="A384" s="39">
        <f t="shared" si="55"/>
        <v>367</v>
      </c>
      <c r="B384" s="40">
        <f t="shared" si="50"/>
        <v>53144</v>
      </c>
      <c r="C384" s="41">
        <f t="shared" si="56"/>
        <v>0</v>
      </c>
      <c r="D384" s="42">
        <f t="shared" si="59"/>
        <v>479.39572008846164</v>
      </c>
      <c r="E384" s="60">
        <f t="shared" si="51"/>
        <v>0</v>
      </c>
      <c r="F384" s="42">
        <f t="shared" si="52"/>
        <v>0</v>
      </c>
      <c r="G384" s="42">
        <f t="shared" si="57"/>
        <v>0</v>
      </c>
      <c r="H384" s="42">
        <f t="shared" si="58"/>
        <v>0</v>
      </c>
      <c r="I384" s="42">
        <f t="shared" si="53"/>
        <v>0</v>
      </c>
      <c r="J384" s="42">
        <f>SUM($H$18:$H384)</f>
        <v>56662.459231846187</v>
      </c>
    </row>
    <row r="385" spans="1:10" x14ac:dyDescent="0.2">
      <c r="A385" s="39">
        <f t="shared" si="55"/>
        <v>368</v>
      </c>
      <c r="B385" s="40">
        <f t="shared" si="50"/>
        <v>53175</v>
      </c>
      <c r="C385" s="41">
        <f t="shared" si="56"/>
        <v>0</v>
      </c>
      <c r="D385" s="42">
        <f t="shared" si="59"/>
        <v>479.39572008846164</v>
      </c>
      <c r="E385" s="60">
        <f t="shared" si="51"/>
        <v>0</v>
      </c>
      <c r="F385" s="42">
        <f t="shared" si="52"/>
        <v>0</v>
      </c>
      <c r="G385" s="42">
        <f t="shared" si="57"/>
        <v>0</v>
      </c>
      <c r="H385" s="42">
        <f t="shared" si="58"/>
        <v>0</v>
      </c>
      <c r="I385" s="42">
        <f t="shared" si="53"/>
        <v>0</v>
      </c>
      <c r="J385" s="42">
        <f>SUM($H$18:$H385)</f>
        <v>56662.459231846187</v>
      </c>
    </row>
    <row r="386" spans="1:10" x14ac:dyDescent="0.2">
      <c r="A386" s="39">
        <f t="shared" si="55"/>
        <v>369</v>
      </c>
      <c r="B386" s="40">
        <f t="shared" si="50"/>
        <v>53206</v>
      </c>
      <c r="C386" s="41">
        <f t="shared" si="56"/>
        <v>0</v>
      </c>
      <c r="D386" s="42">
        <f t="shared" si="59"/>
        <v>479.39572008846164</v>
      </c>
      <c r="E386" s="60">
        <f t="shared" si="51"/>
        <v>0</v>
      </c>
      <c r="F386" s="42">
        <f t="shared" si="52"/>
        <v>0</v>
      </c>
      <c r="G386" s="42">
        <f t="shared" si="57"/>
        <v>0</v>
      </c>
      <c r="H386" s="42">
        <f t="shared" si="58"/>
        <v>0</v>
      </c>
      <c r="I386" s="42">
        <f t="shared" si="53"/>
        <v>0</v>
      </c>
      <c r="J386" s="42">
        <f>SUM($H$18:$H386)</f>
        <v>56662.459231846187</v>
      </c>
    </row>
    <row r="387" spans="1:10" x14ac:dyDescent="0.2">
      <c r="A387" s="39">
        <f t="shared" si="55"/>
        <v>370</v>
      </c>
      <c r="B387" s="40">
        <f t="shared" si="50"/>
        <v>53236</v>
      </c>
      <c r="C387" s="41">
        <f t="shared" si="56"/>
        <v>0</v>
      </c>
      <c r="D387" s="42">
        <f t="shared" si="59"/>
        <v>479.39572008846164</v>
      </c>
      <c r="E387" s="60">
        <f t="shared" si="51"/>
        <v>0</v>
      </c>
      <c r="F387" s="42">
        <f t="shared" si="52"/>
        <v>0</v>
      </c>
      <c r="G387" s="42">
        <f t="shared" si="57"/>
        <v>0</v>
      </c>
      <c r="H387" s="42">
        <f t="shared" si="58"/>
        <v>0</v>
      </c>
      <c r="I387" s="42">
        <f t="shared" si="53"/>
        <v>0</v>
      </c>
      <c r="J387" s="42">
        <f>SUM($H$18:$H387)</f>
        <v>56662.459231846187</v>
      </c>
    </row>
    <row r="388" spans="1:10" x14ac:dyDescent="0.2">
      <c r="A388" s="39">
        <f t="shared" si="55"/>
        <v>371</v>
      </c>
      <c r="B388" s="40">
        <f t="shared" si="50"/>
        <v>53267</v>
      </c>
      <c r="C388" s="41">
        <f t="shared" si="56"/>
        <v>0</v>
      </c>
      <c r="D388" s="42">
        <f t="shared" si="59"/>
        <v>479.39572008846164</v>
      </c>
      <c r="E388" s="60">
        <f t="shared" si="51"/>
        <v>0</v>
      </c>
      <c r="F388" s="42">
        <f t="shared" si="52"/>
        <v>0</v>
      </c>
      <c r="G388" s="42">
        <f t="shared" si="57"/>
        <v>0</v>
      </c>
      <c r="H388" s="42">
        <f t="shared" si="58"/>
        <v>0</v>
      </c>
      <c r="I388" s="42">
        <f t="shared" si="53"/>
        <v>0</v>
      </c>
      <c r="J388" s="42">
        <f>SUM($H$18:$H388)</f>
        <v>56662.459231846187</v>
      </c>
    </row>
    <row r="389" spans="1:10" x14ac:dyDescent="0.2">
      <c r="A389" s="39">
        <f t="shared" si="55"/>
        <v>372</v>
      </c>
      <c r="B389" s="40">
        <f t="shared" si="50"/>
        <v>53297</v>
      </c>
      <c r="C389" s="41">
        <f t="shared" si="56"/>
        <v>0</v>
      </c>
      <c r="D389" s="42">
        <f t="shared" si="59"/>
        <v>479.39572008846164</v>
      </c>
      <c r="E389" s="60">
        <f t="shared" si="51"/>
        <v>0</v>
      </c>
      <c r="F389" s="42">
        <f t="shared" si="52"/>
        <v>0</v>
      </c>
      <c r="G389" s="42">
        <f t="shared" si="57"/>
        <v>0</v>
      </c>
      <c r="H389" s="42">
        <f t="shared" si="58"/>
        <v>0</v>
      </c>
      <c r="I389" s="42">
        <f t="shared" si="53"/>
        <v>0</v>
      </c>
      <c r="J389" s="42">
        <f>SUM($H$18:$H389)</f>
        <v>56662.459231846187</v>
      </c>
    </row>
    <row r="390" spans="1:10" x14ac:dyDescent="0.2">
      <c r="A390" s="39">
        <f t="shared" si="55"/>
        <v>373</v>
      </c>
      <c r="B390" s="40">
        <f t="shared" si="50"/>
        <v>53328</v>
      </c>
      <c r="C390" s="41">
        <f t="shared" si="56"/>
        <v>0</v>
      </c>
      <c r="D390" s="42">
        <f t="shared" si="59"/>
        <v>479.39572008846164</v>
      </c>
      <c r="E390" s="60">
        <f t="shared" si="51"/>
        <v>0</v>
      </c>
      <c r="F390" s="42">
        <f t="shared" si="52"/>
        <v>0</v>
      </c>
      <c r="G390" s="42">
        <f t="shared" si="57"/>
        <v>0</v>
      </c>
      <c r="H390" s="42">
        <f t="shared" si="58"/>
        <v>0</v>
      </c>
      <c r="I390" s="42">
        <f t="shared" si="53"/>
        <v>0</v>
      </c>
      <c r="J390" s="42">
        <f>SUM($H$18:$H390)</f>
        <v>56662.459231846187</v>
      </c>
    </row>
    <row r="391" spans="1:10" x14ac:dyDescent="0.2">
      <c r="A391" s="39">
        <f t="shared" si="55"/>
        <v>374</v>
      </c>
      <c r="B391" s="40">
        <f t="shared" si="50"/>
        <v>53359</v>
      </c>
      <c r="C391" s="41">
        <f t="shared" si="56"/>
        <v>0</v>
      </c>
      <c r="D391" s="42">
        <f t="shared" si="59"/>
        <v>479.39572008846164</v>
      </c>
      <c r="E391" s="60">
        <f t="shared" si="51"/>
        <v>0</v>
      </c>
      <c r="F391" s="42">
        <f t="shared" si="52"/>
        <v>0</v>
      </c>
      <c r="G391" s="42">
        <f t="shared" si="57"/>
        <v>0</v>
      </c>
      <c r="H391" s="42">
        <f t="shared" si="58"/>
        <v>0</v>
      </c>
      <c r="I391" s="42">
        <f t="shared" si="53"/>
        <v>0</v>
      </c>
      <c r="J391" s="42">
        <f>SUM($H$18:$H391)</f>
        <v>56662.459231846187</v>
      </c>
    </row>
    <row r="392" spans="1:10" x14ac:dyDescent="0.2">
      <c r="A392" s="39">
        <f t="shared" si="55"/>
        <v>375</v>
      </c>
      <c r="B392" s="40">
        <f t="shared" si="50"/>
        <v>53387</v>
      </c>
      <c r="C392" s="41">
        <f t="shared" si="56"/>
        <v>0</v>
      </c>
      <c r="D392" s="42">
        <f t="shared" si="59"/>
        <v>479.39572008846164</v>
      </c>
      <c r="E392" s="60">
        <f t="shared" si="51"/>
        <v>0</v>
      </c>
      <c r="F392" s="42">
        <f t="shared" si="52"/>
        <v>0</v>
      </c>
      <c r="G392" s="42">
        <f t="shared" si="57"/>
        <v>0</v>
      </c>
      <c r="H392" s="42">
        <f t="shared" si="58"/>
        <v>0</v>
      </c>
      <c r="I392" s="42">
        <f t="shared" si="53"/>
        <v>0</v>
      </c>
      <c r="J392" s="42">
        <f>SUM($H$18:$H392)</f>
        <v>56662.459231846187</v>
      </c>
    </row>
    <row r="393" spans="1:10" x14ac:dyDescent="0.2">
      <c r="A393" s="39">
        <f t="shared" si="55"/>
        <v>376</v>
      </c>
      <c r="B393" s="40">
        <f t="shared" si="50"/>
        <v>53418</v>
      </c>
      <c r="C393" s="41">
        <f t="shared" si="56"/>
        <v>0</v>
      </c>
      <c r="D393" s="42">
        <f t="shared" si="59"/>
        <v>479.39572008846164</v>
      </c>
      <c r="E393" s="60">
        <f t="shared" si="51"/>
        <v>0</v>
      </c>
      <c r="F393" s="42">
        <f t="shared" si="52"/>
        <v>0</v>
      </c>
      <c r="G393" s="42">
        <f t="shared" si="57"/>
        <v>0</v>
      </c>
      <c r="H393" s="42">
        <f t="shared" si="58"/>
        <v>0</v>
      </c>
      <c r="I393" s="42">
        <f t="shared" si="53"/>
        <v>0</v>
      </c>
      <c r="J393" s="42">
        <f>SUM($H$18:$H393)</f>
        <v>56662.459231846187</v>
      </c>
    </row>
    <row r="394" spans="1:10" x14ac:dyDescent="0.2">
      <c r="A394" s="39">
        <f t="shared" si="55"/>
        <v>377</v>
      </c>
      <c r="B394" s="40">
        <f t="shared" si="50"/>
        <v>53448</v>
      </c>
      <c r="C394" s="41">
        <f t="shared" si="56"/>
        <v>0</v>
      </c>
      <c r="D394" s="42">
        <f t="shared" si="59"/>
        <v>479.39572008846164</v>
      </c>
      <c r="E394" s="60">
        <f t="shared" si="51"/>
        <v>0</v>
      </c>
      <c r="F394" s="42">
        <f t="shared" si="52"/>
        <v>0</v>
      </c>
      <c r="G394" s="42">
        <f t="shared" si="57"/>
        <v>0</v>
      </c>
      <c r="H394" s="42">
        <f t="shared" si="58"/>
        <v>0</v>
      </c>
      <c r="I394" s="42">
        <f t="shared" si="53"/>
        <v>0</v>
      </c>
      <c r="J394" s="42">
        <f>SUM($H$18:$H394)</f>
        <v>56662.459231846187</v>
      </c>
    </row>
    <row r="395" spans="1:10" x14ac:dyDescent="0.2">
      <c r="A395" s="39">
        <f t="shared" si="55"/>
        <v>378</v>
      </c>
      <c r="B395" s="40">
        <f t="shared" si="50"/>
        <v>53479</v>
      </c>
      <c r="C395" s="41">
        <f t="shared" si="56"/>
        <v>0</v>
      </c>
      <c r="D395" s="42">
        <f t="shared" si="59"/>
        <v>479.39572008846164</v>
      </c>
      <c r="E395" s="60">
        <f t="shared" si="51"/>
        <v>0</v>
      </c>
      <c r="F395" s="42">
        <f t="shared" si="52"/>
        <v>0</v>
      </c>
      <c r="G395" s="42">
        <f t="shared" si="57"/>
        <v>0</v>
      </c>
      <c r="H395" s="42">
        <f t="shared" si="58"/>
        <v>0</v>
      </c>
      <c r="I395" s="42">
        <f t="shared" si="53"/>
        <v>0</v>
      </c>
      <c r="J395" s="42">
        <f>SUM($H$18:$H395)</f>
        <v>56662.459231846187</v>
      </c>
    </row>
    <row r="396" spans="1:10" x14ac:dyDescent="0.2">
      <c r="A396" s="39">
        <f t="shared" si="55"/>
        <v>379</v>
      </c>
      <c r="B396" s="40">
        <f t="shared" si="50"/>
        <v>53509</v>
      </c>
      <c r="C396" s="41">
        <f t="shared" si="56"/>
        <v>0</v>
      </c>
      <c r="D396" s="42">
        <f t="shared" si="59"/>
        <v>479.39572008846164</v>
      </c>
      <c r="E396" s="60">
        <f t="shared" si="51"/>
        <v>0</v>
      </c>
      <c r="F396" s="42">
        <f t="shared" si="52"/>
        <v>0</v>
      </c>
      <c r="G396" s="42">
        <f t="shared" si="57"/>
        <v>0</v>
      </c>
      <c r="H396" s="42">
        <f t="shared" si="58"/>
        <v>0</v>
      </c>
      <c r="I396" s="42">
        <f t="shared" si="53"/>
        <v>0</v>
      </c>
      <c r="J396" s="42">
        <f>SUM($H$18:$H396)</f>
        <v>56662.459231846187</v>
      </c>
    </row>
    <row r="397" spans="1:10" x14ac:dyDescent="0.2">
      <c r="A397" s="39">
        <f t="shared" si="55"/>
        <v>380</v>
      </c>
      <c r="B397" s="40">
        <f t="shared" si="50"/>
        <v>53540</v>
      </c>
      <c r="C397" s="41">
        <f t="shared" si="56"/>
        <v>0</v>
      </c>
      <c r="D397" s="42">
        <f t="shared" si="59"/>
        <v>479.39572008846164</v>
      </c>
      <c r="E397" s="60">
        <f t="shared" si="51"/>
        <v>0</v>
      </c>
      <c r="F397" s="42">
        <f t="shared" si="52"/>
        <v>0</v>
      </c>
      <c r="G397" s="42">
        <f t="shared" si="57"/>
        <v>0</v>
      </c>
      <c r="H397" s="42">
        <f t="shared" si="58"/>
        <v>0</v>
      </c>
      <c r="I397" s="42">
        <f t="shared" si="53"/>
        <v>0</v>
      </c>
      <c r="J397" s="42">
        <f>SUM($H$18:$H397)</f>
        <v>56662.459231846187</v>
      </c>
    </row>
    <row r="398" spans="1:10" x14ac:dyDescent="0.2">
      <c r="A398" s="39">
        <f t="shared" si="55"/>
        <v>381</v>
      </c>
      <c r="B398" s="40">
        <f t="shared" si="50"/>
        <v>53571</v>
      </c>
      <c r="C398" s="41">
        <f t="shared" si="56"/>
        <v>0</v>
      </c>
      <c r="D398" s="42">
        <f t="shared" si="59"/>
        <v>479.39572008846164</v>
      </c>
      <c r="E398" s="60">
        <f t="shared" si="51"/>
        <v>0</v>
      </c>
      <c r="F398" s="42">
        <f t="shared" si="52"/>
        <v>0</v>
      </c>
      <c r="G398" s="42">
        <f t="shared" si="57"/>
        <v>0</v>
      </c>
      <c r="H398" s="42">
        <f t="shared" si="58"/>
        <v>0</v>
      </c>
      <c r="I398" s="42">
        <f t="shared" si="53"/>
        <v>0</v>
      </c>
      <c r="J398" s="42">
        <f>SUM($H$18:$H398)</f>
        <v>56662.459231846187</v>
      </c>
    </row>
    <row r="399" spans="1:10" x14ac:dyDescent="0.2">
      <c r="A399" s="39">
        <f t="shared" si="55"/>
        <v>382</v>
      </c>
      <c r="B399" s="40">
        <f t="shared" si="50"/>
        <v>53601</v>
      </c>
      <c r="C399" s="41">
        <f t="shared" si="56"/>
        <v>0</v>
      </c>
      <c r="D399" s="42">
        <f t="shared" si="59"/>
        <v>479.39572008846164</v>
      </c>
      <c r="E399" s="60">
        <f t="shared" si="51"/>
        <v>0</v>
      </c>
      <c r="F399" s="42">
        <f t="shared" si="52"/>
        <v>0</v>
      </c>
      <c r="G399" s="42">
        <f t="shared" si="57"/>
        <v>0</v>
      </c>
      <c r="H399" s="42">
        <f t="shared" si="58"/>
        <v>0</v>
      </c>
      <c r="I399" s="42">
        <f t="shared" si="53"/>
        <v>0</v>
      </c>
      <c r="J399" s="42">
        <f>SUM($H$18:$H399)</f>
        <v>56662.459231846187</v>
      </c>
    </row>
    <row r="400" spans="1:10" x14ac:dyDescent="0.2">
      <c r="A400" s="39">
        <f t="shared" si="55"/>
        <v>383</v>
      </c>
      <c r="B400" s="40">
        <f t="shared" si="50"/>
        <v>53632</v>
      </c>
      <c r="C400" s="41">
        <f t="shared" si="56"/>
        <v>0</v>
      </c>
      <c r="D400" s="42">
        <f t="shared" si="59"/>
        <v>479.39572008846164</v>
      </c>
      <c r="E400" s="60">
        <f t="shared" si="51"/>
        <v>0</v>
      </c>
      <c r="F400" s="42">
        <f t="shared" si="52"/>
        <v>0</v>
      </c>
      <c r="G400" s="42">
        <f t="shared" si="57"/>
        <v>0</v>
      </c>
      <c r="H400" s="42">
        <f t="shared" si="58"/>
        <v>0</v>
      </c>
      <c r="I400" s="42">
        <f t="shared" si="53"/>
        <v>0</v>
      </c>
      <c r="J400" s="42">
        <f>SUM($H$18:$H400)</f>
        <v>56662.459231846187</v>
      </c>
    </row>
    <row r="401" spans="1:10" x14ac:dyDescent="0.2">
      <c r="A401" s="39">
        <f t="shared" si="55"/>
        <v>384</v>
      </c>
      <c r="B401" s="40">
        <f t="shared" si="50"/>
        <v>53662</v>
      </c>
      <c r="C401" s="41">
        <f t="shared" si="56"/>
        <v>0</v>
      </c>
      <c r="D401" s="42">
        <f t="shared" si="59"/>
        <v>479.39572008846164</v>
      </c>
      <c r="E401" s="60">
        <f t="shared" si="51"/>
        <v>0</v>
      </c>
      <c r="F401" s="42">
        <f t="shared" si="52"/>
        <v>0</v>
      </c>
      <c r="G401" s="42">
        <f t="shared" si="57"/>
        <v>0</v>
      </c>
      <c r="H401" s="42">
        <f t="shared" si="58"/>
        <v>0</v>
      </c>
      <c r="I401" s="42">
        <f t="shared" si="53"/>
        <v>0</v>
      </c>
      <c r="J401" s="42">
        <f>SUM($H$18:$H401)</f>
        <v>56662.459231846187</v>
      </c>
    </row>
    <row r="402" spans="1:10" x14ac:dyDescent="0.2">
      <c r="A402" s="39">
        <f t="shared" si="55"/>
        <v>385</v>
      </c>
      <c r="B402" s="40">
        <f t="shared" ref="B402:B465" si="60">IF(Pay_Num&lt;&gt;"",DATE(YEAR(Loan_Start),MONTH(Loan_Start)+(Pay_Num)*12/Num_Pmt_Per_Year,DAY(Loan_Start)),"")</f>
        <v>53693</v>
      </c>
      <c r="C402" s="41">
        <f t="shared" si="56"/>
        <v>0</v>
      </c>
      <c r="D402" s="42">
        <f t="shared" si="59"/>
        <v>479.39572008846164</v>
      </c>
      <c r="E402" s="60">
        <f t="shared" ref="E402:E465" si="61">IF(AND(Pay_Num&lt;&gt;"",Sched_Pay+Scheduled_Extra_Payments&lt;Beg_Bal),Scheduled_Extra_Payments,IF(AND(Pay_Num&lt;&gt;"",Beg_Bal-Sched_Pay&gt;0),Beg_Bal-Sched_Pay,IF(Pay_Num&lt;&gt;"",0,"")))</f>
        <v>0</v>
      </c>
      <c r="F402" s="42">
        <f t="shared" ref="F402:F465" si="62">IF(AND(Pay_Num&lt;&gt;"",Sched_Pay+Extra_Pay&lt;Beg_Bal),Sched_Pay+Extra_Pay,IF(Pay_Num&lt;&gt;"",Beg_Bal,""))</f>
        <v>0</v>
      </c>
      <c r="G402" s="42">
        <f t="shared" si="57"/>
        <v>0</v>
      </c>
      <c r="H402" s="42">
        <f t="shared" si="58"/>
        <v>0</v>
      </c>
      <c r="I402" s="42">
        <f t="shared" ref="I402:I465" si="63">IF(AND(Pay_Num&lt;&gt;"",Sched_Pay+Extra_Pay&lt;Beg_Bal),Beg_Bal-Princ,IF(Pay_Num&lt;&gt;"",0,""))</f>
        <v>0</v>
      </c>
      <c r="J402" s="42">
        <f>SUM($H$18:$H402)</f>
        <v>56662.459231846187</v>
      </c>
    </row>
    <row r="403" spans="1:10" x14ac:dyDescent="0.2">
      <c r="A403" s="39">
        <f t="shared" ref="A403:A466" si="64">IF(Values_Entered,A402+1,"")</f>
        <v>386</v>
      </c>
      <c r="B403" s="40">
        <f t="shared" si="60"/>
        <v>53724</v>
      </c>
      <c r="C403" s="41">
        <f t="shared" ref="C403:C466" si="65">IF(Pay_Num&lt;&gt;"",I402,"")</f>
        <v>0</v>
      </c>
      <c r="D403" s="42">
        <f t="shared" si="59"/>
        <v>479.39572008846164</v>
      </c>
      <c r="E403" s="60">
        <f t="shared" si="61"/>
        <v>0</v>
      </c>
      <c r="F403" s="42">
        <f t="shared" si="62"/>
        <v>0</v>
      </c>
      <c r="G403" s="42">
        <f t="shared" ref="G403:G466" si="66">IF(Pay_Num&lt;&gt;"",Total_Pay-Int,"")</f>
        <v>0</v>
      </c>
      <c r="H403" s="42">
        <f t="shared" ref="H403:H466" si="67">IF(Pay_Num&lt;&gt;"",Beg_Bal*Interest_Rate/Num_Pmt_Per_Year,"")</f>
        <v>0</v>
      </c>
      <c r="I403" s="42">
        <f t="shared" si="63"/>
        <v>0</v>
      </c>
      <c r="J403" s="42">
        <f>SUM($H$18:$H403)</f>
        <v>56662.459231846187</v>
      </c>
    </row>
    <row r="404" spans="1:10" x14ac:dyDescent="0.2">
      <c r="A404" s="39">
        <f t="shared" si="64"/>
        <v>387</v>
      </c>
      <c r="B404" s="40">
        <f t="shared" si="60"/>
        <v>53752</v>
      </c>
      <c r="C404" s="41">
        <f t="shared" si="65"/>
        <v>0</v>
      </c>
      <c r="D404" s="42">
        <f t="shared" ref="D404:D467" si="68">IF(Pay_Num&lt;&gt;"",Scheduled_Monthly_Payment,"")</f>
        <v>479.39572008846164</v>
      </c>
      <c r="E404" s="60">
        <f t="shared" si="61"/>
        <v>0</v>
      </c>
      <c r="F404" s="42">
        <f t="shared" si="62"/>
        <v>0</v>
      </c>
      <c r="G404" s="42">
        <f t="shared" si="66"/>
        <v>0</v>
      </c>
      <c r="H404" s="42">
        <f t="shared" si="67"/>
        <v>0</v>
      </c>
      <c r="I404" s="42">
        <f t="shared" si="63"/>
        <v>0</v>
      </c>
      <c r="J404" s="42">
        <f>SUM($H$18:$H404)</f>
        <v>56662.459231846187</v>
      </c>
    </row>
    <row r="405" spans="1:10" x14ac:dyDescent="0.2">
      <c r="A405" s="39">
        <f t="shared" si="64"/>
        <v>388</v>
      </c>
      <c r="B405" s="40">
        <f t="shared" si="60"/>
        <v>53783</v>
      </c>
      <c r="C405" s="41">
        <f t="shared" si="65"/>
        <v>0</v>
      </c>
      <c r="D405" s="42">
        <f t="shared" si="68"/>
        <v>479.39572008846164</v>
      </c>
      <c r="E405" s="60">
        <f t="shared" si="61"/>
        <v>0</v>
      </c>
      <c r="F405" s="42">
        <f t="shared" si="62"/>
        <v>0</v>
      </c>
      <c r="G405" s="42">
        <f t="shared" si="66"/>
        <v>0</v>
      </c>
      <c r="H405" s="42">
        <f t="shared" si="67"/>
        <v>0</v>
      </c>
      <c r="I405" s="42">
        <f t="shared" si="63"/>
        <v>0</v>
      </c>
      <c r="J405" s="42">
        <f>SUM($H$18:$H405)</f>
        <v>56662.459231846187</v>
      </c>
    </row>
    <row r="406" spans="1:10" x14ac:dyDescent="0.2">
      <c r="A406" s="39">
        <f t="shared" si="64"/>
        <v>389</v>
      </c>
      <c r="B406" s="40">
        <f t="shared" si="60"/>
        <v>53813</v>
      </c>
      <c r="C406" s="41">
        <f t="shared" si="65"/>
        <v>0</v>
      </c>
      <c r="D406" s="42">
        <f t="shared" si="68"/>
        <v>479.39572008846164</v>
      </c>
      <c r="E406" s="60">
        <f t="shared" si="61"/>
        <v>0</v>
      </c>
      <c r="F406" s="42">
        <f t="shared" si="62"/>
        <v>0</v>
      </c>
      <c r="G406" s="42">
        <f t="shared" si="66"/>
        <v>0</v>
      </c>
      <c r="H406" s="42">
        <f t="shared" si="67"/>
        <v>0</v>
      </c>
      <c r="I406" s="42">
        <f t="shared" si="63"/>
        <v>0</v>
      </c>
      <c r="J406" s="42">
        <f>SUM($H$18:$H406)</f>
        <v>56662.459231846187</v>
      </c>
    </row>
    <row r="407" spans="1:10" x14ac:dyDescent="0.2">
      <c r="A407" s="39">
        <f t="shared" si="64"/>
        <v>390</v>
      </c>
      <c r="B407" s="40">
        <f t="shared" si="60"/>
        <v>53844</v>
      </c>
      <c r="C407" s="41">
        <f t="shared" si="65"/>
        <v>0</v>
      </c>
      <c r="D407" s="42">
        <f t="shared" si="68"/>
        <v>479.39572008846164</v>
      </c>
      <c r="E407" s="60">
        <f t="shared" si="61"/>
        <v>0</v>
      </c>
      <c r="F407" s="42">
        <f t="shared" si="62"/>
        <v>0</v>
      </c>
      <c r="G407" s="42">
        <f t="shared" si="66"/>
        <v>0</v>
      </c>
      <c r="H407" s="42">
        <f t="shared" si="67"/>
        <v>0</v>
      </c>
      <c r="I407" s="42">
        <f t="shared" si="63"/>
        <v>0</v>
      </c>
      <c r="J407" s="42">
        <f>SUM($H$18:$H407)</f>
        <v>56662.459231846187</v>
      </c>
    </row>
    <row r="408" spans="1:10" x14ac:dyDescent="0.2">
      <c r="A408" s="39">
        <f t="shared" si="64"/>
        <v>391</v>
      </c>
      <c r="B408" s="40">
        <f t="shared" si="60"/>
        <v>53874</v>
      </c>
      <c r="C408" s="41">
        <f t="shared" si="65"/>
        <v>0</v>
      </c>
      <c r="D408" s="42">
        <f t="shared" si="68"/>
        <v>479.39572008846164</v>
      </c>
      <c r="E408" s="60">
        <f t="shared" si="61"/>
        <v>0</v>
      </c>
      <c r="F408" s="42">
        <f t="shared" si="62"/>
        <v>0</v>
      </c>
      <c r="G408" s="42">
        <f t="shared" si="66"/>
        <v>0</v>
      </c>
      <c r="H408" s="42">
        <f t="shared" si="67"/>
        <v>0</v>
      </c>
      <c r="I408" s="42">
        <f t="shared" si="63"/>
        <v>0</v>
      </c>
      <c r="J408" s="42">
        <f>SUM($H$18:$H408)</f>
        <v>56662.459231846187</v>
      </c>
    </row>
    <row r="409" spans="1:10" x14ac:dyDescent="0.2">
      <c r="A409" s="39">
        <f t="shared" si="64"/>
        <v>392</v>
      </c>
      <c r="B409" s="40">
        <f t="shared" si="60"/>
        <v>53905</v>
      </c>
      <c r="C409" s="41">
        <f t="shared" si="65"/>
        <v>0</v>
      </c>
      <c r="D409" s="42">
        <f t="shared" si="68"/>
        <v>479.39572008846164</v>
      </c>
      <c r="E409" s="60">
        <f t="shared" si="61"/>
        <v>0</v>
      </c>
      <c r="F409" s="42">
        <f t="shared" si="62"/>
        <v>0</v>
      </c>
      <c r="G409" s="42">
        <f t="shared" si="66"/>
        <v>0</v>
      </c>
      <c r="H409" s="42">
        <f t="shared" si="67"/>
        <v>0</v>
      </c>
      <c r="I409" s="42">
        <f t="shared" si="63"/>
        <v>0</v>
      </c>
      <c r="J409" s="42">
        <f>SUM($H$18:$H409)</f>
        <v>56662.459231846187</v>
      </c>
    </row>
    <row r="410" spans="1:10" x14ac:dyDescent="0.2">
      <c r="A410" s="39">
        <f t="shared" si="64"/>
        <v>393</v>
      </c>
      <c r="B410" s="40">
        <f t="shared" si="60"/>
        <v>53936</v>
      </c>
      <c r="C410" s="41">
        <f t="shared" si="65"/>
        <v>0</v>
      </c>
      <c r="D410" s="42">
        <f t="shared" si="68"/>
        <v>479.39572008846164</v>
      </c>
      <c r="E410" s="60">
        <f t="shared" si="61"/>
        <v>0</v>
      </c>
      <c r="F410" s="42">
        <f t="shared" si="62"/>
        <v>0</v>
      </c>
      <c r="G410" s="42">
        <f t="shared" si="66"/>
        <v>0</v>
      </c>
      <c r="H410" s="42">
        <f t="shared" si="67"/>
        <v>0</v>
      </c>
      <c r="I410" s="42">
        <f t="shared" si="63"/>
        <v>0</v>
      </c>
      <c r="J410" s="42">
        <f>SUM($H$18:$H410)</f>
        <v>56662.459231846187</v>
      </c>
    </row>
    <row r="411" spans="1:10" x14ac:dyDescent="0.2">
      <c r="A411" s="39">
        <f t="shared" si="64"/>
        <v>394</v>
      </c>
      <c r="B411" s="40">
        <f t="shared" si="60"/>
        <v>53966</v>
      </c>
      <c r="C411" s="41">
        <f t="shared" si="65"/>
        <v>0</v>
      </c>
      <c r="D411" s="42">
        <f t="shared" si="68"/>
        <v>479.39572008846164</v>
      </c>
      <c r="E411" s="60">
        <f t="shared" si="61"/>
        <v>0</v>
      </c>
      <c r="F411" s="42">
        <f t="shared" si="62"/>
        <v>0</v>
      </c>
      <c r="G411" s="42">
        <f t="shared" si="66"/>
        <v>0</v>
      </c>
      <c r="H411" s="42">
        <f t="shared" si="67"/>
        <v>0</v>
      </c>
      <c r="I411" s="42">
        <f t="shared" si="63"/>
        <v>0</v>
      </c>
      <c r="J411" s="42">
        <f>SUM($H$18:$H411)</f>
        <v>56662.459231846187</v>
      </c>
    </row>
    <row r="412" spans="1:10" x14ac:dyDescent="0.2">
      <c r="A412" s="39">
        <f t="shared" si="64"/>
        <v>395</v>
      </c>
      <c r="B412" s="40">
        <f t="shared" si="60"/>
        <v>53997</v>
      </c>
      <c r="C412" s="41">
        <f t="shared" si="65"/>
        <v>0</v>
      </c>
      <c r="D412" s="42">
        <f t="shared" si="68"/>
        <v>479.39572008846164</v>
      </c>
      <c r="E412" s="60">
        <f t="shared" si="61"/>
        <v>0</v>
      </c>
      <c r="F412" s="42">
        <f t="shared" si="62"/>
        <v>0</v>
      </c>
      <c r="G412" s="42">
        <f t="shared" si="66"/>
        <v>0</v>
      </c>
      <c r="H412" s="42">
        <f t="shared" si="67"/>
        <v>0</v>
      </c>
      <c r="I412" s="42">
        <f t="shared" si="63"/>
        <v>0</v>
      </c>
      <c r="J412" s="42">
        <f>SUM($H$18:$H412)</f>
        <v>56662.459231846187</v>
      </c>
    </row>
    <row r="413" spans="1:10" x14ac:dyDescent="0.2">
      <c r="A413" s="39">
        <f t="shared" si="64"/>
        <v>396</v>
      </c>
      <c r="B413" s="40">
        <f t="shared" si="60"/>
        <v>54027</v>
      </c>
      <c r="C413" s="41">
        <f t="shared" si="65"/>
        <v>0</v>
      </c>
      <c r="D413" s="42">
        <f t="shared" si="68"/>
        <v>479.39572008846164</v>
      </c>
      <c r="E413" s="60">
        <f t="shared" si="61"/>
        <v>0</v>
      </c>
      <c r="F413" s="42">
        <f t="shared" si="62"/>
        <v>0</v>
      </c>
      <c r="G413" s="42">
        <f t="shared" si="66"/>
        <v>0</v>
      </c>
      <c r="H413" s="42">
        <f t="shared" si="67"/>
        <v>0</v>
      </c>
      <c r="I413" s="42">
        <f t="shared" si="63"/>
        <v>0</v>
      </c>
      <c r="J413" s="42">
        <f>SUM($H$18:$H413)</f>
        <v>56662.459231846187</v>
      </c>
    </row>
    <row r="414" spans="1:10" x14ac:dyDescent="0.2">
      <c r="A414" s="39">
        <f t="shared" si="64"/>
        <v>397</v>
      </c>
      <c r="B414" s="40">
        <f t="shared" si="60"/>
        <v>54058</v>
      </c>
      <c r="C414" s="41">
        <f t="shared" si="65"/>
        <v>0</v>
      </c>
      <c r="D414" s="42">
        <f t="shared" si="68"/>
        <v>479.39572008846164</v>
      </c>
      <c r="E414" s="60">
        <f t="shared" si="61"/>
        <v>0</v>
      </c>
      <c r="F414" s="42">
        <f t="shared" si="62"/>
        <v>0</v>
      </c>
      <c r="G414" s="42">
        <f t="shared" si="66"/>
        <v>0</v>
      </c>
      <c r="H414" s="42">
        <f t="shared" si="67"/>
        <v>0</v>
      </c>
      <c r="I414" s="42">
        <f t="shared" si="63"/>
        <v>0</v>
      </c>
      <c r="J414" s="42">
        <f>SUM($H$18:$H414)</f>
        <v>56662.459231846187</v>
      </c>
    </row>
    <row r="415" spans="1:10" x14ac:dyDescent="0.2">
      <c r="A415" s="39">
        <f t="shared" si="64"/>
        <v>398</v>
      </c>
      <c r="B415" s="40">
        <f t="shared" si="60"/>
        <v>54089</v>
      </c>
      <c r="C415" s="41">
        <f t="shared" si="65"/>
        <v>0</v>
      </c>
      <c r="D415" s="42">
        <f t="shared" si="68"/>
        <v>479.39572008846164</v>
      </c>
      <c r="E415" s="60">
        <f t="shared" si="61"/>
        <v>0</v>
      </c>
      <c r="F415" s="42">
        <f t="shared" si="62"/>
        <v>0</v>
      </c>
      <c r="G415" s="42">
        <f t="shared" si="66"/>
        <v>0</v>
      </c>
      <c r="H415" s="42">
        <f t="shared" si="67"/>
        <v>0</v>
      </c>
      <c r="I415" s="42">
        <f t="shared" si="63"/>
        <v>0</v>
      </c>
      <c r="J415" s="42">
        <f>SUM($H$18:$H415)</f>
        <v>56662.459231846187</v>
      </c>
    </row>
    <row r="416" spans="1:10" x14ac:dyDescent="0.2">
      <c r="A416" s="39">
        <f t="shared" si="64"/>
        <v>399</v>
      </c>
      <c r="B416" s="40">
        <f t="shared" si="60"/>
        <v>54118</v>
      </c>
      <c r="C416" s="41">
        <f t="shared" si="65"/>
        <v>0</v>
      </c>
      <c r="D416" s="42">
        <f t="shared" si="68"/>
        <v>479.39572008846164</v>
      </c>
      <c r="E416" s="60">
        <f t="shared" si="61"/>
        <v>0</v>
      </c>
      <c r="F416" s="42">
        <f t="shared" si="62"/>
        <v>0</v>
      </c>
      <c r="G416" s="42">
        <f t="shared" si="66"/>
        <v>0</v>
      </c>
      <c r="H416" s="42">
        <f t="shared" si="67"/>
        <v>0</v>
      </c>
      <c r="I416" s="42">
        <f t="shared" si="63"/>
        <v>0</v>
      </c>
      <c r="J416" s="42">
        <f>SUM($H$18:$H416)</f>
        <v>56662.459231846187</v>
      </c>
    </row>
    <row r="417" spans="1:10" x14ac:dyDescent="0.2">
      <c r="A417" s="39">
        <f t="shared" si="64"/>
        <v>400</v>
      </c>
      <c r="B417" s="40">
        <f t="shared" si="60"/>
        <v>54149</v>
      </c>
      <c r="C417" s="41">
        <f t="shared" si="65"/>
        <v>0</v>
      </c>
      <c r="D417" s="42">
        <f t="shared" si="68"/>
        <v>479.39572008846164</v>
      </c>
      <c r="E417" s="60">
        <f t="shared" si="61"/>
        <v>0</v>
      </c>
      <c r="F417" s="42">
        <f t="shared" si="62"/>
        <v>0</v>
      </c>
      <c r="G417" s="42">
        <f t="shared" si="66"/>
        <v>0</v>
      </c>
      <c r="H417" s="42">
        <f t="shared" si="67"/>
        <v>0</v>
      </c>
      <c r="I417" s="42">
        <f t="shared" si="63"/>
        <v>0</v>
      </c>
      <c r="J417" s="42">
        <f>SUM($H$18:$H417)</f>
        <v>56662.459231846187</v>
      </c>
    </row>
    <row r="418" spans="1:10" x14ac:dyDescent="0.2">
      <c r="A418" s="39">
        <f t="shared" si="64"/>
        <v>401</v>
      </c>
      <c r="B418" s="40">
        <f t="shared" si="60"/>
        <v>54179</v>
      </c>
      <c r="C418" s="41">
        <f t="shared" si="65"/>
        <v>0</v>
      </c>
      <c r="D418" s="42">
        <f t="shared" si="68"/>
        <v>479.39572008846164</v>
      </c>
      <c r="E418" s="60">
        <f t="shared" si="61"/>
        <v>0</v>
      </c>
      <c r="F418" s="42">
        <f t="shared" si="62"/>
        <v>0</v>
      </c>
      <c r="G418" s="42">
        <f t="shared" si="66"/>
        <v>0</v>
      </c>
      <c r="H418" s="42">
        <f t="shared" si="67"/>
        <v>0</v>
      </c>
      <c r="I418" s="42">
        <f t="shared" si="63"/>
        <v>0</v>
      </c>
      <c r="J418" s="42">
        <f>SUM($H$18:$H418)</f>
        <v>56662.459231846187</v>
      </c>
    </row>
    <row r="419" spans="1:10" x14ac:dyDescent="0.2">
      <c r="A419" s="39">
        <f t="shared" si="64"/>
        <v>402</v>
      </c>
      <c r="B419" s="40">
        <f t="shared" si="60"/>
        <v>54210</v>
      </c>
      <c r="C419" s="41">
        <f t="shared" si="65"/>
        <v>0</v>
      </c>
      <c r="D419" s="42">
        <f t="shared" si="68"/>
        <v>479.39572008846164</v>
      </c>
      <c r="E419" s="60">
        <f t="shared" si="61"/>
        <v>0</v>
      </c>
      <c r="F419" s="42">
        <f t="shared" si="62"/>
        <v>0</v>
      </c>
      <c r="G419" s="42">
        <f t="shared" si="66"/>
        <v>0</v>
      </c>
      <c r="H419" s="42">
        <f t="shared" si="67"/>
        <v>0</v>
      </c>
      <c r="I419" s="42">
        <f t="shared" si="63"/>
        <v>0</v>
      </c>
      <c r="J419" s="42">
        <f>SUM($H$18:$H419)</f>
        <v>56662.459231846187</v>
      </c>
    </row>
    <row r="420" spans="1:10" x14ac:dyDescent="0.2">
      <c r="A420" s="39">
        <f t="shared" si="64"/>
        <v>403</v>
      </c>
      <c r="B420" s="40">
        <f t="shared" si="60"/>
        <v>54240</v>
      </c>
      <c r="C420" s="41">
        <f t="shared" si="65"/>
        <v>0</v>
      </c>
      <c r="D420" s="42">
        <f t="shared" si="68"/>
        <v>479.39572008846164</v>
      </c>
      <c r="E420" s="60">
        <f t="shared" si="61"/>
        <v>0</v>
      </c>
      <c r="F420" s="42">
        <f t="shared" si="62"/>
        <v>0</v>
      </c>
      <c r="G420" s="42">
        <f t="shared" si="66"/>
        <v>0</v>
      </c>
      <c r="H420" s="42">
        <f t="shared" si="67"/>
        <v>0</v>
      </c>
      <c r="I420" s="42">
        <f t="shared" si="63"/>
        <v>0</v>
      </c>
      <c r="J420" s="42">
        <f>SUM($H$18:$H420)</f>
        <v>56662.459231846187</v>
      </c>
    </row>
    <row r="421" spans="1:10" x14ac:dyDescent="0.2">
      <c r="A421" s="39">
        <f t="shared" si="64"/>
        <v>404</v>
      </c>
      <c r="B421" s="40">
        <f t="shared" si="60"/>
        <v>54271</v>
      </c>
      <c r="C421" s="41">
        <f t="shared" si="65"/>
        <v>0</v>
      </c>
      <c r="D421" s="42">
        <f t="shared" si="68"/>
        <v>479.39572008846164</v>
      </c>
      <c r="E421" s="60">
        <f t="shared" si="61"/>
        <v>0</v>
      </c>
      <c r="F421" s="42">
        <f t="shared" si="62"/>
        <v>0</v>
      </c>
      <c r="G421" s="42">
        <f t="shared" si="66"/>
        <v>0</v>
      </c>
      <c r="H421" s="42">
        <f t="shared" si="67"/>
        <v>0</v>
      </c>
      <c r="I421" s="42">
        <f t="shared" si="63"/>
        <v>0</v>
      </c>
      <c r="J421" s="42">
        <f>SUM($H$18:$H421)</f>
        <v>56662.459231846187</v>
      </c>
    </row>
    <row r="422" spans="1:10" x14ac:dyDescent="0.2">
      <c r="A422" s="39">
        <f t="shared" si="64"/>
        <v>405</v>
      </c>
      <c r="B422" s="40">
        <f t="shared" si="60"/>
        <v>54302</v>
      </c>
      <c r="C422" s="41">
        <f t="shared" si="65"/>
        <v>0</v>
      </c>
      <c r="D422" s="42">
        <f t="shared" si="68"/>
        <v>479.39572008846164</v>
      </c>
      <c r="E422" s="60">
        <f t="shared" si="61"/>
        <v>0</v>
      </c>
      <c r="F422" s="42">
        <f t="shared" si="62"/>
        <v>0</v>
      </c>
      <c r="G422" s="42">
        <f t="shared" si="66"/>
        <v>0</v>
      </c>
      <c r="H422" s="42">
        <f t="shared" si="67"/>
        <v>0</v>
      </c>
      <c r="I422" s="42">
        <f t="shared" si="63"/>
        <v>0</v>
      </c>
      <c r="J422" s="42">
        <f>SUM($H$18:$H422)</f>
        <v>56662.459231846187</v>
      </c>
    </row>
    <row r="423" spans="1:10" x14ac:dyDescent="0.2">
      <c r="A423" s="39">
        <f t="shared" si="64"/>
        <v>406</v>
      </c>
      <c r="B423" s="40">
        <f t="shared" si="60"/>
        <v>54332</v>
      </c>
      <c r="C423" s="41">
        <f t="shared" si="65"/>
        <v>0</v>
      </c>
      <c r="D423" s="42">
        <f t="shared" si="68"/>
        <v>479.39572008846164</v>
      </c>
      <c r="E423" s="60">
        <f t="shared" si="61"/>
        <v>0</v>
      </c>
      <c r="F423" s="42">
        <f t="shared" si="62"/>
        <v>0</v>
      </c>
      <c r="G423" s="42">
        <f t="shared" si="66"/>
        <v>0</v>
      </c>
      <c r="H423" s="42">
        <f t="shared" si="67"/>
        <v>0</v>
      </c>
      <c r="I423" s="42">
        <f t="shared" si="63"/>
        <v>0</v>
      </c>
      <c r="J423" s="42">
        <f>SUM($H$18:$H423)</f>
        <v>56662.459231846187</v>
      </c>
    </row>
    <row r="424" spans="1:10" x14ac:dyDescent="0.2">
      <c r="A424" s="39">
        <f t="shared" si="64"/>
        <v>407</v>
      </c>
      <c r="B424" s="40">
        <f t="shared" si="60"/>
        <v>54363</v>
      </c>
      <c r="C424" s="41">
        <f t="shared" si="65"/>
        <v>0</v>
      </c>
      <c r="D424" s="42">
        <f t="shared" si="68"/>
        <v>479.39572008846164</v>
      </c>
      <c r="E424" s="60">
        <f t="shared" si="61"/>
        <v>0</v>
      </c>
      <c r="F424" s="42">
        <f t="shared" si="62"/>
        <v>0</v>
      </c>
      <c r="G424" s="42">
        <f t="shared" si="66"/>
        <v>0</v>
      </c>
      <c r="H424" s="42">
        <f t="shared" si="67"/>
        <v>0</v>
      </c>
      <c r="I424" s="42">
        <f t="shared" si="63"/>
        <v>0</v>
      </c>
      <c r="J424" s="42">
        <f>SUM($H$18:$H424)</f>
        <v>56662.459231846187</v>
      </c>
    </row>
    <row r="425" spans="1:10" x14ac:dyDescent="0.2">
      <c r="A425" s="39">
        <f t="shared" si="64"/>
        <v>408</v>
      </c>
      <c r="B425" s="40">
        <f t="shared" si="60"/>
        <v>54393</v>
      </c>
      <c r="C425" s="41">
        <f t="shared" si="65"/>
        <v>0</v>
      </c>
      <c r="D425" s="42">
        <f t="shared" si="68"/>
        <v>479.39572008846164</v>
      </c>
      <c r="E425" s="60">
        <f t="shared" si="61"/>
        <v>0</v>
      </c>
      <c r="F425" s="42">
        <f t="shared" si="62"/>
        <v>0</v>
      </c>
      <c r="G425" s="42">
        <f t="shared" si="66"/>
        <v>0</v>
      </c>
      <c r="H425" s="42">
        <f t="shared" si="67"/>
        <v>0</v>
      </c>
      <c r="I425" s="42">
        <f t="shared" si="63"/>
        <v>0</v>
      </c>
      <c r="J425" s="42">
        <f>SUM($H$18:$H425)</f>
        <v>56662.459231846187</v>
      </c>
    </row>
    <row r="426" spans="1:10" x14ac:dyDescent="0.2">
      <c r="A426" s="39">
        <f t="shared" si="64"/>
        <v>409</v>
      </c>
      <c r="B426" s="40">
        <f t="shared" si="60"/>
        <v>54424</v>
      </c>
      <c r="C426" s="41">
        <f t="shared" si="65"/>
        <v>0</v>
      </c>
      <c r="D426" s="42">
        <f t="shared" si="68"/>
        <v>479.39572008846164</v>
      </c>
      <c r="E426" s="60">
        <f t="shared" si="61"/>
        <v>0</v>
      </c>
      <c r="F426" s="42">
        <f t="shared" si="62"/>
        <v>0</v>
      </c>
      <c r="G426" s="42">
        <f t="shared" si="66"/>
        <v>0</v>
      </c>
      <c r="H426" s="42">
        <f t="shared" si="67"/>
        <v>0</v>
      </c>
      <c r="I426" s="42">
        <f t="shared" si="63"/>
        <v>0</v>
      </c>
      <c r="J426" s="42">
        <f>SUM($H$18:$H426)</f>
        <v>56662.459231846187</v>
      </c>
    </row>
    <row r="427" spans="1:10" x14ac:dyDescent="0.2">
      <c r="A427" s="39">
        <f t="shared" si="64"/>
        <v>410</v>
      </c>
      <c r="B427" s="40">
        <f t="shared" si="60"/>
        <v>54455</v>
      </c>
      <c r="C427" s="41">
        <f t="shared" si="65"/>
        <v>0</v>
      </c>
      <c r="D427" s="42">
        <f t="shared" si="68"/>
        <v>479.39572008846164</v>
      </c>
      <c r="E427" s="60">
        <f t="shared" si="61"/>
        <v>0</v>
      </c>
      <c r="F427" s="42">
        <f t="shared" si="62"/>
        <v>0</v>
      </c>
      <c r="G427" s="42">
        <f t="shared" si="66"/>
        <v>0</v>
      </c>
      <c r="H427" s="42">
        <f t="shared" si="67"/>
        <v>0</v>
      </c>
      <c r="I427" s="42">
        <f t="shared" si="63"/>
        <v>0</v>
      </c>
      <c r="J427" s="42">
        <f>SUM($H$18:$H427)</f>
        <v>56662.459231846187</v>
      </c>
    </row>
    <row r="428" spans="1:10" x14ac:dyDescent="0.2">
      <c r="A428" s="39">
        <f t="shared" si="64"/>
        <v>411</v>
      </c>
      <c r="B428" s="40">
        <f t="shared" si="60"/>
        <v>54483</v>
      </c>
      <c r="C428" s="41">
        <f t="shared" si="65"/>
        <v>0</v>
      </c>
      <c r="D428" s="42">
        <f t="shared" si="68"/>
        <v>479.39572008846164</v>
      </c>
      <c r="E428" s="60">
        <f t="shared" si="61"/>
        <v>0</v>
      </c>
      <c r="F428" s="42">
        <f t="shared" si="62"/>
        <v>0</v>
      </c>
      <c r="G428" s="42">
        <f t="shared" si="66"/>
        <v>0</v>
      </c>
      <c r="H428" s="42">
        <f t="shared" si="67"/>
        <v>0</v>
      </c>
      <c r="I428" s="42">
        <f t="shared" si="63"/>
        <v>0</v>
      </c>
      <c r="J428" s="42">
        <f>SUM($H$18:$H428)</f>
        <v>56662.459231846187</v>
      </c>
    </row>
    <row r="429" spans="1:10" x14ac:dyDescent="0.2">
      <c r="A429" s="39">
        <f t="shared" si="64"/>
        <v>412</v>
      </c>
      <c r="B429" s="40">
        <f t="shared" si="60"/>
        <v>54514</v>
      </c>
      <c r="C429" s="41">
        <f t="shared" si="65"/>
        <v>0</v>
      </c>
      <c r="D429" s="42">
        <f t="shared" si="68"/>
        <v>479.39572008846164</v>
      </c>
      <c r="E429" s="60">
        <f t="shared" si="61"/>
        <v>0</v>
      </c>
      <c r="F429" s="42">
        <f t="shared" si="62"/>
        <v>0</v>
      </c>
      <c r="G429" s="42">
        <f t="shared" si="66"/>
        <v>0</v>
      </c>
      <c r="H429" s="42">
        <f t="shared" si="67"/>
        <v>0</v>
      </c>
      <c r="I429" s="42">
        <f t="shared" si="63"/>
        <v>0</v>
      </c>
      <c r="J429" s="42">
        <f>SUM($H$18:$H429)</f>
        <v>56662.459231846187</v>
      </c>
    </row>
    <row r="430" spans="1:10" x14ac:dyDescent="0.2">
      <c r="A430" s="39">
        <f t="shared" si="64"/>
        <v>413</v>
      </c>
      <c r="B430" s="40">
        <f t="shared" si="60"/>
        <v>54544</v>
      </c>
      <c r="C430" s="41">
        <f t="shared" si="65"/>
        <v>0</v>
      </c>
      <c r="D430" s="42">
        <f t="shared" si="68"/>
        <v>479.39572008846164</v>
      </c>
      <c r="E430" s="60">
        <f t="shared" si="61"/>
        <v>0</v>
      </c>
      <c r="F430" s="42">
        <f t="shared" si="62"/>
        <v>0</v>
      </c>
      <c r="G430" s="42">
        <f t="shared" si="66"/>
        <v>0</v>
      </c>
      <c r="H430" s="42">
        <f t="shared" si="67"/>
        <v>0</v>
      </c>
      <c r="I430" s="42">
        <f t="shared" si="63"/>
        <v>0</v>
      </c>
      <c r="J430" s="42">
        <f>SUM($H$18:$H430)</f>
        <v>56662.459231846187</v>
      </c>
    </row>
    <row r="431" spans="1:10" x14ac:dyDescent="0.2">
      <c r="A431" s="39">
        <f t="shared" si="64"/>
        <v>414</v>
      </c>
      <c r="B431" s="40">
        <f t="shared" si="60"/>
        <v>54575</v>
      </c>
      <c r="C431" s="41">
        <f t="shared" si="65"/>
        <v>0</v>
      </c>
      <c r="D431" s="42">
        <f t="shared" si="68"/>
        <v>479.39572008846164</v>
      </c>
      <c r="E431" s="60">
        <f t="shared" si="61"/>
        <v>0</v>
      </c>
      <c r="F431" s="42">
        <f t="shared" si="62"/>
        <v>0</v>
      </c>
      <c r="G431" s="42">
        <f t="shared" si="66"/>
        <v>0</v>
      </c>
      <c r="H431" s="42">
        <f t="shared" si="67"/>
        <v>0</v>
      </c>
      <c r="I431" s="42">
        <f t="shared" si="63"/>
        <v>0</v>
      </c>
      <c r="J431" s="42">
        <f>SUM($H$18:$H431)</f>
        <v>56662.459231846187</v>
      </c>
    </row>
    <row r="432" spans="1:10" x14ac:dyDescent="0.2">
      <c r="A432" s="39">
        <f t="shared" si="64"/>
        <v>415</v>
      </c>
      <c r="B432" s="40">
        <f t="shared" si="60"/>
        <v>54605</v>
      </c>
      <c r="C432" s="41">
        <f t="shared" si="65"/>
        <v>0</v>
      </c>
      <c r="D432" s="42">
        <f t="shared" si="68"/>
        <v>479.39572008846164</v>
      </c>
      <c r="E432" s="60">
        <f t="shared" si="61"/>
        <v>0</v>
      </c>
      <c r="F432" s="42">
        <f t="shared" si="62"/>
        <v>0</v>
      </c>
      <c r="G432" s="42">
        <f t="shared" si="66"/>
        <v>0</v>
      </c>
      <c r="H432" s="42">
        <f t="shared" si="67"/>
        <v>0</v>
      </c>
      <c r="I432" s="42">
        <f t="shared" si="63"/>
        <v>0</v>
      </c>
      <c r="J432" s="42">
        <f>SUM($H$18:$H432)</f>
        <v>56662.459231846187</v>
      </c>
    </row>
    <row r="433" spans="1:10" x14ac:dyDescent="0.2">
      <c r="A433" s="39">
        <f t="shared" si="64"/>
        <v>416</v>
      </c>
      <c r="B433" s="40">
        <f t="shared" si="60"/>
        <v>54636</v>
      </c>
      <c r="C433" s="41">
        <f t="shared" si="65"/>
        <v>0</v>
      </c>
      <c r="D433" s="42">
        <f t="shared" si="68"/>
        <v>479.39572008846164</v>
      </c>
      <c r="E433" s="60">
        <f t="shared" si="61"/>
        <v>0</v>
      </c>
      <c r="F433" s="42">
        <f t="shared" si="62"/>
        <v>0</v>
      </c>
      <c r="G433" s="42">
        <f t="shared" si="66"/>
        <v>0</v>
      </c>
      <c r="H433" s="42">
        <f t="shared" si="67"/>
        <v>0</v>
      </c>
      <c r="I433" s="42">
        <f t="shared" si="63"/>
        <v>0</v>
      </c>
      <c r="J433" s="42">
        <f>SUM($H$18:$H433)</f>
        <v>56662.459231846187</v>
      </c>
    </row>
    <row r="434" spans="1:10" x14ac:dyDescent="0.2">
      <c r="A434" s="39">
        <f t="shared" si="64"/>
        <v>417</v>
      </c>
      <c r="B434" s="40">
        <f t="shared" si="60"/>
        <v>54667</v>
      </c>
      <c r="C434" s="41">
        <f t="shared" si="65"/>
        <v>0</v>
      </c>
      <c r="D434" s="42">
        <f t="shared" si="68"/>
        <v>479.39572008846164</v>
      </c>
      <c r="E434" s="60">
        <f t="shared" si="61"/>
        <v>0</v>
      </c>
      <c r="F434" s="42">
        <f t="shared" si="62"/>
        <v>0</v>
      </c>
      <c r="G434" s="42">
        <f t="shared" si="66"/>
        <v>0</v>
      </c>
      <c r="H434" s="42">
        <f t="shared" si="67"/>
        <v>0</v>
      </c>
      <c r="I434" s="42">
        <f t="shared" si="63"/>
        <v>0</v>
      </c>
      <c r="J434" s="42">
        <f>SUM($H$18:$H434)</f>
        <v>56662.459231846187</v>
      </c>
    </row>
    <row r="435" spans="1:10" x14ac:dyDescent="0.2">
      <c r="A435" s="39">
        <f t="shared" si="64"/>
        <v>418</v>
      </c>
      <c r="B435" s="40">
        <f t="shared" si="60"/>
        <v>54697</v>
      </c>
      <c r="C435" s="41">
        <f t="shared" si="65"/>
        <v>0</v>
      </c>
      <c r="D435" s="42">
        <f t="shared" si="68"/>
        <v>479.39572008846164</v>
      </c>
      <c r="E435" s="60">
        <f t="shared" si="61"/>
        <v>0</v>
      </c>
      <c r="F435" s="42">
        <f t="shared" si="62"/>
        <v>0</v>
      </c>
      <c r="G435" s="42">
        <f t="shared" si="66"/>
        <v>0</v>
      </c>
      <c r="H435" s="42">
        <f t="shared" si="67"/>
        <v>0</v>
      </c>
      <c r="I435" s="42">
        <f t="shared" si="63"/>
        <v>0</v>
      </c>
      <c r="J435" s="42">
        <f>SUM($H$18:$H435)</f>
        <v>56662.459231846187</v>
      </c>
    </row>
    <row r="436" spans="1:10" x14ac:dyDescent="0.2">
      <c r="A436" s="39">
        <f t="shared" si="64"/>
        <v>419</v>
      </c>
      <c r="B436" s="40">
        <f t="shared" si="60"/>
        <v>54728</v>
      </c>
      <c r="C436" s="41">
        <f t="shared" si="65"/>
        <v>0</v>
      </c>
      <c r="D436" s="42">
        <f t="shared" si="68"/>
        <v>479.39572008846164</v>
      </c>
      <c r="E436" s="60">
        <f t="shared" si="61"/>
        <v>0</v>
      </c>
      <c r="F436" s="42">
        <f t="shared" si="62"/>
        <v>0</v>
      </c>
      <c r="G436" s="42">
        <f t="shared" si="66"/>
        <v>0</v>
      </c>
      <c r="H436" s="42">
        <f t="shared" si="67"/>
        <v>0</v>
      </c>
      <c r="I436" s="42">
        <f t="shared" si="63"/>
        <v>0</v>
      </c>
      <c r="J436" s="42">
        <f>SUM($H$18:$H436)</f>
        <v>56662.459231846187</v>
      </c>
    </row>
    <row r="437" spans="1:10" x14ac:dyDescent="0.2">
      <c r="A437" s="39">
        <f t="shared" si="64"/>
        <v>420</v>
      </c>
      <c r="B437" s="40">
        <f t="shared" si="60"/>
        <v>54758</v>
      </c>
      <c r="C437" s="41">
        <f t="shared" si="65"/>
        <v>0</v>
      </c>
      <c r="D437" s="42">
        <f t="shared" si="68"/>
        <v>479.39572008846164</v>
      </c>
      <c r="E437" s="60">
        <f t="shared" si="61"/>
        <v>0</v>
      </c>
      <c r="F437" s="42">
        <f t="shared" si="62"/>
        <v>0</v>
      </c>
      <c r="G437" s="42">
        <f t="shared" si="66"/>
        <v>0</v>
      </c>
      <c r="H437" s="42">
        <f t="shared" si="67"/>
        <v>0</v>
      </c>
      <c r="I437" s="42">
        <f t="shared" si="63"/>
        <v>0</v>
      </c>
      <c r="J437" s="42">
        <f>SUM($H$18:$H437)</f>
        <v>56662.459231846187</v>
      </c>
    </row>
    <row r="438" spans="1:10" x14ac:dyDescent="0.2">
      <c r="A438" s="39">
        <f t="shared" si="64"/>
        <v>421</v>
      </c>
      <c r="B438" s="40">
        <f t="shared" si="60"/>
        <v>54789</v>
      </c>
      <c r="C438" s="41">
        <f t="shared" si="65"/>
        <v>0</v>
      </c>
      <c r="D438" s="42">
        <f t="shared" si="68"/>
        <v>479.39572008846164</v>
      </c>
      <c r="E438" s="60">
        <f t="shared" si="61"/>
        <v>0</v>
      </c>
      <c r="F438" s="42">
        <f t="shared" si="62"/>
        <v>0</v>
      </c>
      <c r="G438" s="42">
        <f t="shared" si="66"/>
        <v>0</v>
      </c>
      <c r="H438" s="42">
        <f t="shared" si="67"/>
        <v>0</v>
      </c>
      <c r="I438" s="42">
        <f t="shared" si="63"/>
        <v>0</v>
      </c>
      <c r="J438" s="42">
        <f>SUM($H$18:$H438)</f>
        <v>56662.459231846187</v>
      </c>
    </row>
    <row r="439" spans="1:10" x14ac:dyDescent="0.2">
      <c r="A439" s="39">
        <f t="shared" si="64"/>
        <v>422</v>
      </c>
      <c r="B439" s="40">
        <f t="shared" si="60"/>
        <v>54820</v>
      </c>
      <c r="C439" s="41">
        <f t="shared" si="65"/>
        <v>0</v>
      </c>
      <c r="D439" s="42">
        <f t="shared" si="68"/>
        <v>479.39572008846164</v>
      </c>
      <c r="E439" s="60">
        <f t="shared" si="61"/>
        <v>0</v>
      </c>
      <c r="F439" s="42">
        <f t="shared" si="62"/>
        <v>0</v>
      </c>
      <c r="G439" s="42">
        <f t="shared" si="66"/>
        <v>0</v>
      </c>
      <c r="H439" s="42">
        <f t="shared" si="67"/>
        <v>0</v>
      </c>
      <c r="I439" s="42">
        <f t="shared" si="63"/>
        <v>0</v>
      </c>
      <c r="J439" s="42">
        <f>SUM($H$18:$H439)</f>
        <v>56662.459231846187</v>
      </c>
    </row>
    <row r="440" spans="1:10" x14ac:dyDescent="0.2">
      <c r="A440" s="39">
        <f t="shared" si="64"/>
        <v>423</v>
      </c>
      <c r="B440" s="40">
        <f t="shared" si="60"/>
        <v>54848</v>
      </c>
      <c r="C440" s="41">
        <f t="shared" si="65"/>
        <v>0</v>
      </c>
      <c r="D440" s="42">
        <f t="shared" si="68"/>
        <v>479.39572008846164</v>
      </c>
      <c r="E440" s="60">
        <f t="shared" si="61"/>
        <v>0</v>
      </c>
      <c r="F440" s="42">
        <f t="shared" si="62"/>
        <v>0</v>
      </c>
      <c r="G440" s="42">
        <f t="shared" si="66"/>
        <v>0</v>
      </c>
      <c r="H440" s="42">
        <f t="shared" si="67"/>
        <v>0</v>
      </c>
      <c r="I440" s="42">
        <f t="shared" si="63"/>
        <v>0</v>
      </c>
      <c r="J440" s="42">
        <f>SUM($H$18:$H440)</f>
        <v>56662.459231846187</v>
      </c>
    </row>
    <row r="441" spans="1:10" x14ac:dyDescent="0.2">
      <c r="A441" s="39">
        <f t="shared" si="64"/>
        <v>424</v>
      </c>
      <c r="B441" s="40">
        <f t="shared" si="60"/>
        <v>54879</v>
      </c>
      <c r="C441" s="41">
        <f t="shared" si="65"/>
        <v>0</v>
      </c>
      <c r="D441" s="42">
        <f t="shared" si="68"/>
        <v>479.39572008846164</v>
      </c>
      <c r="E441" s="60">
        <f t="shared" si="61"/>
        <v>0</v>
      </c>
      <c r="F441" s="42">
        <f t="shared" si="62"/>
        <v>0</v>
      </c>
      <c r="G441" s="42">
        <f t="shared" si="66"/>
        <v>0</v>
      </c>
      <c r="H441" s="42">
        <f t="shared" si="67"/>
        <v>0</v>
      </c>
      <c r="I441" s="42">
        <f t="shared" si="63"/>
        <v>0</v>
      </c>
      <c r="J441" s="42">
        <f>SUM($H$18:$H441)</f>
        <v>56662.459231846187</v>
      </c>
    </row>
    <row r="442" spans="1:10" x14ac:dyDescent="0.2">
      <c r="A442" s="39">
        <f t="shared" si="64"/>
        <v>425</v>
      </c>
      <c r="B442" s="40">
        <f t="shared" si="60"/>
        <v>54909</v>
      </c>
      <c r="C442" s="41">
        <f t="shared" si="65"/>
        <v>0</v>
      </c>
      <c r="D442" s="42">
        <f t="shared" si="68"/>
        <v>479.39572008846164</v>
      </c>
      <c r="E442" s="60">
        <f t="shared" si="61"/>
        <v>0</v>
      </c>
      <c r="F442" s="42">
        <f t="shared" si="62"/>
        <v>0</v>
      </c>
      <c r="G442" s="42">
        <f t="shared" si="66"/>
        <v>0</v>
      </c>
      <c r="H442" s="42">
        <f t="shared" si="67"/>
        <v>0</v>
      </c>
      <c r="I442" s="42">
        <f t="shared" si="63"/>
        <v>0</v>
      </c>
      <c r="J442" s="42">
        <f>SUM($H$18:$H442)</f>
        <v>56662.459231846187</v>
      </c>
    </row>
    <row r="443" spans="1:10" x14ac:dyDescent="0.2">
      <c r="A443" s="39">
        <f t="shared" si="64"/>
        <v>426</v>
      </c>
      <c r="B443" s="40">
        <f t="shared" si="60"/>
        <v>54940</v>
      </c>
      <c r="C443" s="41">
        <f t="shared" si="65"/>
        <v>0</v>
      </c>
      <c r="D443" s="42">
        <f t="shared" si="68"/>
        <v>479.39572008846164</v>
      </c>
      <c r="E443" s="60">
        <f t="shared" si="61"/>
        <v>0</v>
      </c>
      <c r="F443" s="42">
        <f t="shared" si="62"/>
        <v>0</v>
      </c>
      <c r="G443" s="42">
        <f t="shared" si="66"/>
        <v>0</v>
      </c>
      <c r="H443" s="42">
        <f t="shared" si="67"/>
        <v>0</v>
      </c>
      <c r="I443" s="42">
        <f t="shared" si="63"/>
        <v>0</v>
      </c>
      <c r="J443" s="42">
        <f>SUM($H$18:$H443)</f>
        <v>56662.459231846187</v>
      </c>
    </row>
    <row r="444" spans="1:10" x14ac:dyDescent="0.2">
      <c r="A444" s="39">
        <f t="shared" si="64"/>
        <v>427</v>
      </c>
      <c r="B444" s="40">
        <f t="shared" si="60"/>
        <v>54970</v>
      </c>
      <c r="C444" s="41">
        <f t="shared" si="65"/>
        <v>0</v>
      </c>
      <c r="D444" s="42">
        <f t="shared" si="68"/>
        <v>479.39572008846164</v>
      </c>
      <c r="E444" s="60">
        <f t="shared" si="61"/>
        <v>0</v>
      </c>
      <c r="F444" s="42">
        <f t="shared" si="62"/>
        <v>0</v>
      </c>
      <c r="G444" s="42">
        <f t="shared" si="66"/>
        <v>0</v>
      </c>
      <c r="H444" s="42">
        <f t="shared" si="67"/>
        <v>0</v>
      </c>
      <c r="I444" s="42">
        <f t="shared" si="63"/>
        <v>0</v>
      </c>
      <c r="J444" s="42">
        <f>SUM($H$18:$H444)</f>
        <v>56662.459231846187</v>
      </c>
    </row>
    <row r="445" spans="1:10" x14ac:dyDescent="0.2">
      <c r="A445" s="39">
        <f t="shared" si="64"/>
        <v>428</v>
      </c>
      <c r="B445" s="40">
        <f t="shared" si="60"/>
        <v>55001</v>
      </c>
      <c r="C445" s="41">
        <f t="shared" si="65"/>
        <v>0</v>
      </c>
      <c r="D445" s="42">
        <f t="shared" si="68"/>
        <v>479.39572008846164</v>
      </c>
      <c r="E445" s="60">
        <f t="shared" si="61"/>
        <v>0</v>
      </c>
      <c r="F445" s="42">
        <f t="shared" si="62"/>
        <v>0</v>
      </c>
      <c r="G445" s="42">
        <f t="shared" si="66"/>
        <v>0</v>
      </c>
      <c r="H445" s="42">
        <f t="shared" si="67"/>
        <v>0</v>
      </c>
      <c r="I445" s="42">
        <f t="shared" si="63"/>
        <v>0</v>
      </c>
      <c r="J445" s="42">
        <f>SUM($H$18:$H445)</f>
        <v>56662.459231846187</v>
      </c>
    </row>
    <row r="446" spans="1:10" x14ac:dyDescent="0.2">
      <c r="A446" s="39">
        <f t="shared" si="64"/>
        <v>429</v>
      </c>
      <c r="B446" s="40">
        <f t="shared" si="60"/>
        <v>55032</v>
      </c>
      <c r="C446" s="41">
        <f t="shared" si="65"/>
        <v>0</v>
      </c>
      <c r="D446" s="42">
        <f t="shared" si="68"/>
        <v>479.39572008846164</v>
      </c>
      <c r="E446" s="60">
        <f t="shared" si="61"/>
        <v>0</v>
      </c>
      <c r="F446" s="42">
        <f t="shared" si="62"/>
        <v>0</v>
      </c>
      <c r="G446" s="42">
        <f t="shared" si="66"/>
        <v>0</v>
      </c>
      <c r="H446" s="42">
        <f t="shared" si="67"/>
        <v>0</v>
      </c>
      <c r="I446" s="42">
        <f t="shared" si="63"/>
        <v>0</v>
      </c>
      <c r="J446" s="42">
        <f>SUM($H$18:$H446)</f>
        <v>56662.459231846187</v>
      </c>
    </row>
    <row r="447" spans="1:10" x14ac:dyDescent="0.2">
      <c r="A447" s="39">
        <f t="shared" si="64"/>
        <v>430</v>
      </c>
      <c r="B447" s="40">
        <f t="shared" si="60"/>
        <v>55062</v>
      </c>
      <c r="C447" s="41">
        <f t="shared" si="65"/>
        <v>0</v>
      </c>
      <c r="D447" s="42">
        <f t="shared" si="68"/>
        <v>479.39572008846164</v>
      </c>
      <c r="E447" s="60">
        <f t="shared" si="61"/>
        <v>0</v>
      </c>
      <c r="F447" s="42">
        <f t="shared" si="62"/>
        <v>0</v>
      </c>
      <c r="G447" s="42">
        <f t="shared" si="66"/>
        <v>0</v>
      </c>
      <c r="H447" s="42">
        <f t="shared" si="67"/>
        <v>0</v>
      </c>
      <c r="I447" s="42">
        <f t="shared" si="63"/>
        <v>0</v>
      </c>
      <c r="J447" s="42">
        <f>SUM($H$18:$H447)</f>
        <v>56662.459231846187</v>
      </c>
    </row>
    <row r="448" spans="1:10" x14ac:dyDescent="0.2">
      <c r="A448" s="39">
        <f t="shared" si="64"/>
        <v>431</v>
      </c>
      <c r="B448" s="40">
        <f t="shared" si="60"/>
        <v>55093</v>
      </c>
      <c r="C448" s="41">
        <f t="shared" si="65"/>
        <v>0</v>
      </c>
      <c r="D448" s="42">
        <f t="shared" si="68"/>
        <v>479.39572008846164</v>
      </c>
      <c r="E448" s="60">
        <f t="shared" si="61"/>
        <v>0</v>
      </c>
      <c r="F448" s="42">
        <f t="shared" si="62"/>
        <v>0</v>
      </c>
      <c r="G448" s="42">
        <f t="shared" si="66"/>
        <v>0</v>
      </c>
      <c r="H448" s="42">
        <f t="shared" si="67"/>
        <v>0</v>
      </c>
      <c r="I448" s="42">
        <f t="shared" si="63"/>
        <v>0</v>
      </c>
      <c r="J448" s="42">
        <f>SUM($H$18:$H448)</f>
        <v>56662.459231846187</v>
      </c>
    </row>
    <row r="449" spans="1:10" x14ac:dyDescent="0.2">
      <c r="A449" s="39">
        <f t="shared" si="64"/>
        <v>432</v>
      </c>
      <c r="B449" s="40">
        <f t="shared" si="60"/>
        <v>55123</v>
      </c>
      <c r="C449" s="41">
        <f t="shared" si="65"/>
        <v>0</v>
      </c>
      <c r="D449" s="42">
        <f t="shared" si="68"/>
        <v>479.39572008846164</v>
      </c>
      <c r="E449" s="60">
        <f t="shared" si="61"/>
        <v>0</v>
      </c>
      <c r="F449" s="42">
        <f t="shared" si="62"/>
        <v>0</v>
      </c>
      <c r="G449" s="42">
        <f t="shared" si="66"/>
        <v>0</v>
      </c>
      <c r="H449" s="42">
        <f t="shared" si="67"/>
        <v>0</v>
      </c>
      <c r="I449" s="42">
        <f t="shared" si="63"/>
        <v>0</v>
      </c>
      <c r="J449" s="42">
        <f>SUM($H$18:$H449)</f>
        <v>56662.459231846187</v>
      </c>
    </row>
    <row r="450" spans="1:10" x14ac:dyDescent="0.2">
      <c r="A450" s="39">
        <f t="shared" si="64"/>
        <v>433</v>
      </c>
      <c r="B450" s="40">
        <f t="shared" si="60"/>
        <v>55154</v>
      </c>
      <c r="C450" s="41">
        <f t="shared" si="65"/>
        <v>0</v>
      </c>
      <c r="D450" s="42">
        <f t="shared" si="68"/>
        <v>479.39572008846164</v>
      </c>
      <c r="E450" s="60">
        <f t="shared" si="61"/>
        <v>0</v>
      </c>
      <c r="F450" s="42">
        <f t="shared" si="62"/>
        <v>0</v>
      </c>
      <c r="G450" s="42">
        <f t="shared" si="66"/>
        <v>0</v>
      </c>
      <c r="H450" s="42">
        <f t="shared" si="67"/>
        <v>0</v>
      </c>
      <c r="I450" s="42">
        <f t="shared" si="63"/>
        <v>0</v>
      </c>
      <c r="J450" s="42">
        <f>SUM($H$18:$H450)</f>
        <v>56662.459231846187</v>
      </c>
    </row>
    <row r="451" spans="1:10" x14ac:dyDescent="0.2">
      <c r="A451" s="39">
        <f t="shared" si="64"/>
        <v>434</v>
      </c>
      <c r="B451" s="40">
        <f t="shared" si="60"/>
        <v>55185</v>
      </c>
      <c r="C451" s="41">
        <f t="shared" si="65"/>
        <v>0</v>
      </c>
      <c r="D451" s="42">
        <f t="shared" si="68"/>
        <v>479.39572008846164</v>
      </c>
      <c r="E451" s="60">
        <f t="shared" si="61"/>
        <v>0</v>
      </c>
      <c r="F451" s="42">
        <f t="shared" si="62"/>
        <v>0</v>
      </c>
      <c r="G451" s="42">
        <f t="shared" si="66"/>
        <v>0</v>
      </c>
      <c r="H451" s="42">
        <f t="shared" si="67"/>
        <v>0</v>
      </c>
      <c r="I451" s="42">
        <f t="shared" si="63"/>
        <v>0</v>
      </c>
      <c r="J451" s="42">
        <f>SUM($H$18:$H451)</f>
        <v>56662.459231846187</v>
      </c>
    </row>
    <row r="452" spans="1:10" x14ac:dyDescent="0.2">
      <c r="A452" s="39">
        <f t="shared" si="64"/>
        <v>435</v>
      </c>
      <c r="B452" s="40">
        <f t="shared" si="60"/>
        <v>55213</v>
      </c>
      <c r="C452" s="41">
        <f t="shared" si="65"/>
        <v>0</v>
      </c>
      <c r="D452" s="42">
        <f t="shared" si="68"/>
        <v>479.39572008846164</v>
      </c>
      <c r="E452" s="60">
        <f t="shared" si="61"/>
        <v>0</v>
      </c>
      <c r="F452" s="42">
        <f t="shared" si="62"/>
        <v>0</v>
      </c>
      <c r="G452" s="42">
        <f t="shared" si="66"/>
        <v>0</v>
      </c>
      <c r="H452" s="42">
        <f t="shared" si="67"/>
        <v>0</v>
      </c>
      <c r="I452" s="42">
        <f t="shared" si="63"/>
        <v>0</v>
      </c>
      <c r="J452" s="42">
        <f>SUM($H$18:$H452)</f>
        <v>56662.459231846187</v>
      </c>
    </row>
    <row r="453" spans="1:10" x14ac:dyDescent="0.2">
      <c r="A453" s="39">
        <f t="shared" si="64"/>
        <v>436</v>
      </c>
      <c r="B453" s="40">
        <f t="shared" si="60"/>
        <v>55244</v>
      </c>
      <c r="C453" s="41">
        <f t="shared" si="65"/>
        <v>0</v>
      </c>
      <c r="D453" s="42">
        <f t="shared" si="68"/>
        <v>479.39572008846164</v>
      </c>
      <c r="E453" s="60">
        <f t="shared" si="61"/>
        <v>0</v>
      </c>
      <c r="F453" s="42">
        <f t="shared" si="62"/>
        <v>0</v>
      </c>
      <c r="G453" s="42">
        <f t="shared" si="66"/>
        <v>0</v>
      </c>
      <c r="H453" s="42">
        <f t="shared" si="67"/>
        <v>0</v>
      </c>
      <c r="I453" s="42">
        <f t="shared" si="63"/>
        <v>0</v>
      </c>
      <c r="J453" s="42">
        <f>SUM($H$18:$H453)</f>
        <v>56662.459231846187</v>
      </c>
    </row>
    <row r="454" spans="1:10" x14ac:dyDescent="0.2">
      <c r="A454" s="39">
        <f t="shared" si="64"/>
        <v>437</v>
      </c>
      <c r="B454" s="40">
        <f t="shared" si="60"/>
        <v>55274</v>
      </c>
      <c r="C454" s="41">
        <f t="shared" si="65"/>
        <v>0</v>
      </c>
      <c r="D454" s="42">
        <f t="shared" si="68"/>
        <v>479.39572008846164</v>
      </c>
      <c r="E454" s="60">
        <f t="shared" si="61"/>
        <v>0</v>
      </c>
      <c r="F454" s="42">
        <f t="shared" si="62"/>
        <v>0</v>
      </c>
      <c r="G454" s="42">
        <f t="shared" si="66"/>
        <v>0</v>
      </c>
      <c r="H454" s="42">
        <f t="shared" si="67"/>
        <v>0</v>
      </c>
      <c r="I454" s="42">
        <f t="shared" si="63"/>
        <v>0</v>
      </c>
      <c r="J454" s="42">
        <f>SUM($H$18:$H454)</f>
        <v>56662.459231846187</v>
      </c>
    </row>
    <row r="455" spans="1:10" x14ac:dyDescent="0.2">
      <c r="A455" s="39">
        <f t="shared" si="64"/>
        <v>438</v>
      </c>
      <c r="B455" s="40">
        <f t="shared" si="60"/>
        <v>55305</v>
      </c>
      <c r="C455" s="41">
        <f t="shared" si="65"/>
        <v>0</v>
      </c>
      <c r="D455" s="42">
        <f t="shared" si="68"/>
        <v>479.39572008846164</v>
      </c>
      <c r="E455" s="60">
        <f t="shared" si="61"/>
        <v>0</v>
      </c>
      <c r="F455" s="42">
        <f t="shared" si="62"/>
        <v>0</v>
      </c>
      <c r="G455" s="42">
        <f t="shared" si="66"/>
        <v>0</v>
      </c>
      <c r="H455" s="42">
        <f t="shared" si="67"/>
        <v>0</v>
      </c>
      <c r="I455" s="42">
        <f t="shared" si="63"/>
        <v>0</v>
      </c>
      <c r="J455" s="42">
        <f>SUM($H$18:$H455)</f>
        <v>56662.459231846187</v>
      </c>
    </row>
    <row r="456" spans="1:10" x14ac:dyDescent="0.2">
      <c r="A456" s="39">
        <f t="shared" si="64"/>
        <v>439</v>
      </c>
      <c r="B456" s="40">
        <f t="shared" si="60"/>
        <v>55335</v>
      </c>
      <c r="C456" s="41">
        <f t="shared" si="65"/>
        <v>0</v>
      </c>
      <c r="D456" s="42">
        <f t="shared" si="68"/>
        <v>479.39572008846164</v>
      </c>
      <c r="E456" s="60">
        <f t="shared" si="61"/>
        <v>0</v>
      </c>
      <c r="F456" s="42">
        <f t="shared" si="62"/>
        <v>0</v>
      </c>
      <c r="G456" s="42">
        <f t="shared" si="66"/>
        <v>0</v>
      </c>
      <c r="H456" s="42">
        <f t="shared" si="67"/>
        <v>0</v>
      </c>
      <c r="I456" s="42">
        <f t="shared" si="63"/>
        <v>0</v>
      </c>
      <c r="J456" s="42">
        <f>SUM($H$18:$H456)</f>
        <v>56662.459231846187</v>
      </c>
    </row>
    <row r="457" spans="1:10" x14ac:dyDescent="0.2">
      <c r="A457" s="39">
        <f t="shared" si="64"/>
        <v>440</v>
      </c>
      <c r="B457" s="40">
        <f t="shared" si="60"/>
        <v>55366</v>
      </c>
      <c r="C457" s="41">
        <f t="shared" si="65"/>
        <v>0</v>
      </c>
      <c r="D457" s="42">
        <f t="shared" si="68"/>
        <v>479.39572008846164</v>
      </c>
      <c r="E457" s="60">
        <f t="shared" si="61"/>
        <v>0</v>
      </c>
      <c r="F457" s="42">
        <f t="shared" si="62"/>
        <v>0</v>
      </c>
      <c r="G457" s="42">
        <f t="shared" si="66"/>
        <v>0</v>
      </c>
      <c r="H457" s="42">
        <f t="shared" si="67"/>
        <v>0</v>
      </c>
      <c r="I457" s="42">
        <f t="shared" si="63"/>
        <v>0</v>
      </c>
      <c r="J457" s="42">
        <f>SUM($H$18:$H457)</f>
        <v>56662.459231846187</v>
      </c>
    </row>
    <row r="458" spans="1:10" x14ac:dyDescent="0.2">
      <c r="A458" s="39">
        <f t="shared" si="64"/>
        <v>441</v>
      </c>
      <c r="B458" s="40">
        <f t="shared" si="60"/>
        <v>55397</v>
      </c>
      <c r="C458" s="41">
        <f t="shared" si="65"/>
        <v>0</v>
      </c>
      <c r="D458" s="42">
        <f t="shared" si="68"/>
        <v>479.39572008846164</v>
      </c>
      <c r="E458" s="60">
        <f t="shared" si="61"/>
        <v>0</v>
      </c>
      <c r="F458" s="42">
        <f t="shared" si="62"/>
        <v>0</v>
      </c>
      <c r="G458" s="42">
        <f t="shared" si="66"/>
        <v>0</v>
      </c>
      <c r="H458" s="42">
        <f t="shared" si="67"/>
        <v>0</v>
      </c>
      <c r="I458" s="42">
        <f t="shared" si="63"/>
        <v>0</v>
      </c>
      <c r="J458" s="42">
        <f>SUM($H$18:$H458)</f>
        <v>56662.459231846187</v>
      </c>
    </row>
    <row r="459" spans="1:10" x14ac:dyDescent="0.2">
      <c r="A459" s="39">
        <f t="shared" si="64"/>
        <v>442</v>
      </c>
      <c r="B459" s="40">
        <f t="shared" si="60"/>
        <v>55427</v>
      </c>
      <c r="C459" s="41">
        <f t="shared" si="65"/>
        <v>0</v>
      </c>
      <c r="D459" s="42">
        <f t="shared" si="68"/>
        <v>479.39572008846164</v>
      </c>
      <c r="E459" s="60">
        <f t="shared" si="61"/>
        <v>0</v>
      </c>
      <c r="F459" s="42">
        <f t="shared" si="62"/>
        <v>0</v>
      </c>
      <c r="G459" s="42">
        <f t="shared" si="66"/>
        <v>0</v>
      </c>
      <c r="H459" s="42">
        <f t="shared" si="67"/>
        <v>0</v>
      </c>
      <c r="I459" s="42">
        <f t="shared" si="63"/>
        <v>0</v>
      </c>
      <c r="J459" s="42">
        <f>SUM($H$18:$H459)</f>
        <v>56662.459231846187</v>
      </c>
    </row>
    <row r="460" spans="1:10" x14ac:dyDescent="0.2">
      <c r="A460" s="39">
        <f t="shared" si="64"/>
        <v>443</v>
      </c>
      <c r="B460" s="40">
        <f t="shared" si="60"/>
        <v>55458</v>
      </c>
      <c r="C460" s="41">
        <f t="shared" si="65"/>
        <v>0</v>
      </c>
      <c r="D460" s="42">
        <f t="shared" si="68"/>
        <v>479.39572008846164</v>
      </c>
      <c r="E460" s="60">
        <f t="shared" si="61"/>
        <v>0</v>
      </c>
      <c r="F460" s="42">
        <f t="shared" si="62"/>
        <v>0</v>
      </c>
      <c r="G460" s="42">
        <f t="shared" si="66"/>
        <v>0</v>
      </c>
      <c r="H460" s="42">
        <f t="shared" si="67"/>
        <v>0</v>
      </c>
      <c r="I460" s="42">
        <f t="shared" si="63"/>
        <v>0</v>
      </c>
      <c r="J460" s="42">
        <f>SUM($H$18:$H460)</f>
        <v>56662.459231846187</v>
      </c>
    </row>
    <row r="461" spans="1:10" x14ac:dyDescent="0.2">
      <c r="A461" s="39">
        <f t="shared" si="64"/>
        <v>444</v>
      </c>
      <c r="B461" s="40">
        <f t="shared" si="60"/>
        <v>55488</v>
      </c>
      <c r="C461" s="41">
        <f t="shared" si="65"/>
        <v>0</v>
      </c>
      <c r="D461" s="42">
        <f t="shared" si="68"/>
        <v>479.39572008846164</v>
      </c>
      <c r="E461" s="60">
        <f t="shared" si="61"/>
        <v>0</v>
      </c>
      <c r="F461" s="42">
        <f t="shared" si="62"/>
        <v>0</v>
      </c>
      <c r="G461" s="42">
        <f t="shared" si="66"/>
        <v>0</v>
      </c>
      <c r="H461" s="42">
        <f t="shared" si="67"/>
        <v>0</v>
      </c>
      <c r="I461" s="42">
        <f t="shared" si="63"/>
        <v>0</v>
      </c>
      <c r="J461" s="42">
        <f>SUM($H$18:$H461)</f>
        <v>56662.459231846187</v>
      </c>
    </row>
    <row r="462" spans="1:10" x14ac:dyDescent="0.2">
      <c r="A462" s="39">
        <f t="shared" si="64"/>
        <v>445</v>
      </c>
      <c r="B462" s="40">
        <f t="shared" si="60"/>
        <v>55519</v>
      </c>
      <c r="C462" s="41">
        <f t="shared" si="65"/>
        <v>0</v>
      </c>
      <c r="D462" s="42">
        <f t="shared" si="68"/>
        <v>479.39572008846164</v>
      </c>
      <c r="E462" s="60">
        <f t="shared" si="61"/>
        <v>0</v>
      </c>
      <c r="F462" s="42">
        <f t="shared" si="62"/>
        <v>0</v>
      </c>
      <c r="G462" s="42">
        <f t="shared" si="66"/>
        <v>0</v>
      </c>
      <c r="H462" s="42">
        <f t="shared" si="67"/>
        <v>0</v>
      </c>
      <c r="I462" s="42">
        <f t="shared" si="63"/>
        <v>0</v>
      </c>
      <c r="J462" s="42">
        <f>SUM($H$18:$H462)</f>
        <v>56662.459231846187</v>
      </c>
    </row>
    <row r="463" spans="1:10" x14ac:dyDescent="0.2">
      <c r="A463" s="39">
        <f t="shared" si="64"/>
        <v>446</v>
      </c>
      <c r="B463" s="40">
        <f t="shared" si="60"/>
        <v>55550</v>
      </c>
      <c r="C463" s="41">
        <f t="shared" si="65"/>
        <v>0</v>
      </c>
      <c r="D463" s="42">
        <f t="shared" si="68"/>
        <v>479.39572008846164</v>
      </c>
      <c r="E463" s="60">
        <f t="shared" si="61"/>
        <v>0</v>
      </c>
      <c r="F463" s="42">
        <f t="shared" si="62"/>
        <v>0</v>
      </c>
      <c r="G463" s="42">
        <f t="shared" si="66"/>
        <v>0</v>
      </c>
      <c r="H463" s="42">
        <f t="shared" si="67"/>
        <v>0</v>
      </c>
      <c r="I463" s="42">
        <f t="shared" si="63"/>
        <v>0</v>
      </c>
      <c r="J463" s="42">
        <f>SUM($H$18:$H463)</f>
        <v>56662.459231846187</v>
      </c>
    </row>
    <row r="464" spans="1:10" x14ac:dyDescent="0.2">
      <c r="A464" s="39">
        <f t="shared" si="64"/>
        <v>447</v>
      </c>
      <c r="B464" s="40">
        <f t="shared" si="60"/>
        <v>55579</v>
      </c>
      <c r="C464" s="41">
        <f t="shared" si="65"/>
        <v>0</v>
      </c>
      <c r="D464" s="42">
        <f t="shared" si="68"/>
        <v>479.39572008846164</v>
      </c>
      <c r="E464" s="60">
        <f t="shared" si="61"/>
        <v>0</v>
      </c>
      <c r="F464" s="42">
        <f t="shared" si="62"/>
        <v>0</v>
      </c>
      <c r="G464" s="42">
        <f t="shared" si="66"/>
        <v>0</v>
      </c>
      <c r="H464" s="42">
        <f t="shared" si="67"/>
        <v>0</v>
      </c>
      <c r="I464" s="42">
        <f t="shared" si="63"/>
        <v>0</v>
      </c>
      <c r="J464" s="42">
        <f>SUM($H$18:$H464)</f>
        <v>56662.459231846187</v>
      </c>
    </row>
    <row r="465" spans="1:10" x14ac:dyDescent="0.2">
      <c r="A465" s="39">
        <f t="shared" si="64"/>
        <v>448</v>
      </c>
      <c r="B465" s="40">
        <f t="shared" si="60"/>
        <v>55610</v>
      </c>
      <c r="C465" s="41">
        <f t="shared" si="65"/>
        <v>0</v>
      </c>
      <c r="D465" s="42">
        <f t="shared" si="68"/>
        <v>479.39572008846164</v>
      </c>
      <c r="E465" s="60">
        <f t="shared" si="61"/>
        <v>0</v>
      </c>
      <c r="F465" s="42">
        <f t="shared" si="62"/>
        <v>0</v>
      </c>
      <c r="G465" s="42">
        <f t="shared" si="66"/>
        <v>0</v>
      </c>
      <c r="H465" s="42">
        <f t="shared" si="67"/>
        <v>0</v>
      </c>
      <c r="I465" s="42">
        <f t="shared" si="63"/>
        <v>0</v>
      </c>
      <c r="J465" s="42">
        <f>SUM($H$18:$H465)</f>
        <v>56662.459231846187</v>
      </c>
    </row>
    <row r="466" spans="1:10" x14ac:dyDescent="0.2">
      <c r="A466" s="39">
        <f t="shared" si="64"/>
        <v>449</v>
      </c>
      <c r="B466" s="40">
        <f t="shared" ref="B466:B497" si="69">IF(Pay_Num&lt;&gt;"",DATE(YEAR(Loan_Start),MONTH(Loan_Start)+(Pay_Num)*12/Num_Pmt_Per_Year,DAY(Loan_Start)),"")</f>
        <v>55640</v>
      </c>
      <c r="C466" s="41">
        <f t="shared" si="65"/>
        <v>0</v>
      </c>
      <c r="D466" s="42">
        <f t="shared" si="68"/>
        <v>479.39572008846164</v>
      </c>
      <c r="E466" s="60">
        <f t="shared" ref="E466:E497" si="70">IF(AND(Pay_Num&lt;&gt;"",Sched_Pay+Scheduled_Extra_Payments&lt;Beg_Bal),Scheduled_Extra_Payments,IF(AND(Pay_Num&lt;&gt;"",Beg_Bal-Sched_Pay&gt;0),Beg_Bal-Sched_Pay,IF(Pay_Num&lt;&gt;"",0,"")))</f>
        <v>0</v>
      </c>
      <c r="F466" s="42">
        <f t="shared" ref="F466:F497" si="71">IF(AND(Pay_Num&lt;&gt;"",Sched_Pay+Extra_Pay&lt;Beg_Bal),Sched_Pay+Extra_Pay,IF(Pay_Num&lt;&gt;"",Beg_Bal,""))</f>
        <v>0</v>
      </c>
      <c r="G466" s="42">
        <f t="shared" si="66"/>
        <v>0</v>
      </c>
      <c r="H466" s="42">
        <f t="shared" si="67"/>
        <v>0</v>
      </c>
      <c r="I466" s="42">
        <f t="shared" ref="I466:I497" si="72">IF(AND(Pay_Num&lt;&gt;"",Sched_Pay+Extra_Pay&lt;Beg_Bal),Beg_Bal-Princ,IF(Pay_Num&lt;&gt;"",0,""))</f>
        <v>0</v>
      </c>
      <c r="J466" s="42">
        <f>SUM($H$18:$H466)</f>
        <v>56662.459231846187</v>
      </c>
    </row>
    <row r="467" spans="1:10" x14ac:dyDescent="0.2">
      <c r="A467" s="39">
        <f t="shared" ref="A467:A497" si="73">IF(Values_Entered,A466+1,"")</f>
        <v>450</v>
      </c>
      <c r="B467" s="40">
        <f t="shared" si="69"/>
        <v>55671</v>
      </c>
      <c r="C467" s="41">
        <f t="shared" ref="C467:C497" si="74">IF(Pay_Num&lt;&gt;"",I466,"")</f>
        <v>0</v>
      </c>
      <c r="D467" s="42">
        <f t="shared" si="68"/>
        <v>479.39572008846164</v>
      </c>
      <c r="E467" s="60">
        <f t="shared" si="70"/>
        <v>0</v>
      </c>
      <c r="F467" s="42">
        <f t="shared" si="71"/>
        <v>0</v>
      </c>
      <c r="G467" s="42">
        <f t="shared" ref="G467:G497" si="75">IF(Pay_Num&lt;&gt;"",Total_Pay-Int,"")</f>
        <v>0</v>
      </c>
      <c r="H467" s="42">
        <f t="shared" ref="H467:H497" si="76">IF(Pay_Num&lt;&gt;"",Beg_Bal*Interest_Rate/Num_Pmt_Per_Year,"")</f>
        <v>0</v>
      </c>
      <c r="I467" s="42">
        <f t="shared" si="72"/>
        <v>0</v>
      </c>
      <c r="J467" s="42">
        <f>SUM($H$18:$H467)</f>
        <v>56662.459231846187</v>
      </c>
    </row>
    <row r="468" spans="1:10" x14ac:dyDescent="0.2">
      <c r="A468" s="39">
        <f t="shared" si="73"/>
        <v>451</v>
      </c>
      <c r="B468" s="40">
        <f t="shared" si="69"/>
        <v>55701</v>
      </c>
      <c r="C468" s="41">
        <f t="shared" si="74"/>
        <v>0</v>
      </c>
      <c r="D468" s="42">
        <f t="shared" ref="D468:D497" si="77">IF(Pay_Num&lt;&gt;"",Scheduled_Monthly_Payment,"")</f>
        <v>479.39572008846164</v>
      </c>
      <c r="E468" s="60">
        <f t="shared" si="70"/>
        <v>0</v>
      </c>
      <c r="F468" s="42">
        <f t="shared" si="71"/>
        <v>0</v>
      </c>
      <c r="G468" s="42">
        <f t="shared" si="75"/>
        <v>0</v>
      </c>
      <c r="H468" s="42">
        <f t="shared" si="76"/>
        <v>0</v>
      </c>
      <c r="I468" s="42">
        <f t="shared" si="72"/>
        <v>0</v>
      </c>
      <c r="J468" s="42">
        <f>SUM($H$18:$H468)</f>
        <v>56662.459231846187</v>
      </c>
    </row>
    <row r="469" spans="1:10" x14ac:dyDescent="0.2">
      <c r="A469" s="39">
        <f t="shared" si="73"/>
        <v>452</v>
      </c>
      <c r="B469" s="40">
        <f t="shared" si="69"/>
        <v>55732</v>
      </c>
      <c r="C469" s="41">
        <f t="shared" si="74"/>
        <v>0</v>
      </c>
      <c r="D469" s="42">
        <f t="shared" si="77"/>
        <v>479.39572008846164</v>
      </c>
      <c r="E469" s="60">
        <f t="shared" si="70"/>
        <v>0</v>
      </c>
      <c r="F469" s="42">
        <f t="shared" si="71"/>
        <v>0</v>
      </c>
      <c r="G469" s="42">
        <f t="shared" si="75"/>
        <v>0</v>
      </c>
      <c r="H469" s="42">
        <f t="shared" si="76"/>
        <v>0</v>
      </c>
      <c r="I469" s="42">
        <f t="shared" si="72"/>
        <v>0</v>
      </c>
      <c r="J469" s="42">
        <f>SUM($H$18:$H469)</f>
        <v>56662.459231846187</v>
      </c>
    </row>
    <row r="470" spans="1:10" x14ac:dyDescent="0.2">
      <c r="A470" s="39">
        <f t="shared" si="73"/>
        <v>453</v>
      </c>
      <c r="B470" s="40">
        <f t="shared" si="69"/>
        <v>55763</v>
      </c>
      <c r="C470" s="41">
        <f t="shared" si="74"/>
        <v>0</v>
      </c>
      <c r="D470" s="42">
        <f t="shared" si="77"/>
        <v>479.39572008846164</v>
      </c>
      <c r="E470" s="60">
        <f t="shared" si="70"/>
        <v>0</v>
      </c>
      <c r="F470" s="42">
        <f t="shared" si="71"/>
        <v>0</v>
      </c>
      <c r="G470" s="42">
        <f t="shared" si="75"/>
        <v>0</v>
      </c>
      <c r="H470" s="42">
        <f t="shared" si="76"/>
        <v>0</v>
      </c>
      <c r="I470" s="42">
        <f t="shared" si="72"/>
        <v>0</v>
      </c>
      <c r="J470" s="42">
        <f>SUM($H$18:$H470)</f>
        <v>56662.459231846187</v>
      </c>
    </row>
    <row r="471" spans="1:10" x14ac:dyDescent="0.2">
      <c r="A471" s="39">
        <f t="shared" si="73"/>
        <v>454</v>
      </c>
      <c r="B471" s="40">
        <f t="shared" si="69"/>
        <v>55793</v>
      </c>
      <c r="C471" s="41">
        <f t="shared" si="74"/>
        <v>0</v>
      </c>
      <c r="D471" s="42">
        <f t="shared" si="77"/>
        <v>479.39572008846164</v>
      </c>
      <c r="E471" s="60">
        <f t="shared" si="70"/>
        <v>0</v>
      </c>
      <c r="F471" s="42">
        <f t="shared" si="71"/>
        <v>0</v>
      </c>
      <c r="G471" s="42">
        <f t="shared" si="75"/>
        <v>0</v>
      </c>
      <c r="H471" s="42">
        <f t="shared" si="76"/>
        <v>0</v>
      </c>
      <c r="I471" s="42">
        <f t="shared" si="72"/>
        <v>0</v>
      </c>
      <c r="J471" s="42">
        <f>SUM($H$18:$H471)</f>
        <v>56662.459231846187</v>
      </c>
    </row>
    <row r="472" spans="1:10" x14ac:dyDescent="0.2">
      <c r="A472" s="39">
        <f t="shared" si="73"/>
        <v>455</v>
      </c>
      <c r="B472" s="40">
        <f t="shared" si="69"/>
        <v>55824</v>
      </c>
      <c r="C472" s="41">
        <f t="shared" si="74"/>
        <v>0</v>
      </c>
      <c r="D472" s="42">
        <f t="shared" si="77"/>
        <v>479.39572008846164</v>
      </c>
      <c r="E472" s="60">
        <f t="shared" si="70"/>
        <v>0</v>
      </c>
      <c r="F472" s="42">
        <f t="shared" si="71"/>
        <v>0</v>
      </c>
      <c r="G472" s="42">
        <f t="shared" si="75"/>
        <v>0</v>
      </c>
      <c r="H472" s="42">
        <f t="shared" si="76"/>
        <v>0</v>
      </c>
      <c r="I472" s="42">
        <f t="shared" si="72"/>
        <v>0</v>
      </c>
      <c r="J472" s="42">
        <f>SUM($H$18:$H472)</f>
        <v>56662.459231846187</v>
      </c>
    </row>
    <row r="473" spans="1:10" x14ac:dyDescent="0.2">
      <c r="A473" s="39">
        <f t="shared" si="73"/>
        <v>456</v>
      </c>
      <c r="B473" s="40">
        <f t="shared" si="69"/>
        <v>55854</v>
      </c>
      <c r="C473" s="41">
        <f t="shared" si="74"/>
        <v>0</v>
      </c>
      <c r="D473" s="42">
        <f t="shared" si="77"/>
        <v>479.39572008846164</v>
      </c>
      <c r="E473" s="60">
        <f t="shared" si="70"/>
        <v>0</v>
      </c>
      <c r="F473" s="42">
        <f t="shared" si="71"/>
        <v>0</v>
      </c>
      <c r="G473" s="42">
        <f t="shared" si="75"/>
        <v>0</v>
      </c>
      <c r="H473" s="42">
        <f t="shared" si="76"/>
        <v>0</v>
      </c>
      <c r="I473" s="42">
        <f t="shared" si="72"/>
        <v>0</v>
      </c>
      <c r="J473" s="42">
        <f>SUM($H$18:$H473)</f>
        <v>56662.459231846187</v>
      </c>
    </row>
    <row r="474" spans="1:10" x14ac:dyDescent="0.2">
      <c r="A474" s="39">
        <f t="shared" si="73"/>
        <v>457</v>
      </c>
      <c r="B474" s="40">
        <f t="shared" si="69"/>
        <v>55885</v>
      </c>
      <c r="C474" s="41">
        <f t="shared" si="74"/>
        <v>0</v>
      </c>
      <c r="D474" s="42">
        <f t="shared" si="77"/>
        <v>479.39572008846164</v>
      </c>
      <c r="E474" s="60">
        <f t="shared" si="70"/>
        <v>0</v>
      </c>
      <c r="F474" s="42">
        <f t="shared" si="71"/>
        <v>0</v>
      </c>
      <c r="G474" s="42">
        <f t="shared" si="75"/>
        <v>0</v>
      </c>
      <c r="H474" s="42">
        <f t="shared" si="76"/>
        <v>0</v>
      </c>
      <c r="I474" s="42">
        <f t="shared" si="72"/>
        <v>0</v>
      </c>
      <c r="J474" s="42">
        <f>SUM($H$18:$H474)</f>
        <v>56662.459231846187</v>
      </c>
    </row>
    <row r="475" spans="1:10" x14ac:dyDescent="0.2">
      <c r="A475" s="39">
        <f t="shared" si="73"/>
        <v>458</v>
      </c>
      <c r="B475" s="40">
        <f t="shared" si="69"/>
        <v>55916</v>
      </c>
      <c r="C475" s="41">
        <f t="shared" si="74"/>
        <v>0</v>
      </c>
      <c r="D475" s="42">
        <f t="shared" si="77"/>
        <v>479.39572008846164</v>
      </c>
      <c r="E475" s="60">
        <f t="shared" si="70"/>
        <v>0</v>
      </c>
      <c r="F475" s="42">
        <f t="shared" si="71"/>
        <v>0</v>
      </c>
      <c r="G475" s="42">
        <f t="shared" si="75"/>
        <v>0</v>
      </c>
      <c r="H475" s="42">
        <f t="shared" si="76"/>
        <v>0</v>
      </c>
      <c r="I475" s="42">
        <f t="shared" si="72"/>
        <v>0</v>
      </c>
      <c r="J475" s="42">
        <f>SUM($H$18:$H475)</f>
        <v>56662.459231846187</v>
      </c>
    </row>
    <row r="476" spans="1:10" x14ac:dyDescent="0.2">
      <c r="A476" s="39">
        <f t="shared" si="73"/>
        <v>459</v>
      </c>
      <c r="B476" s="40">
        <f t="shared" si="69"/>
        <v>55944</v>
      </c>
      <c r="C476" s="41">
        <f t="shared" si="74"/>
        <v>0</v>
      </c>
      <c r="D476" s="42">
        <f t="shared" si="77"/>
        <v>479.39572008846164</v>
      </c>
      <c r="E476" s="60">
        <f t="shared" si="70"/>
        <v>0</v>
      </c>
      <c r="F476" s="42">
        <f t="shared" si="71"/>
        <v>0</v>
      </c>
      <c r="G476" s="42">
        <f t="shared" si="75"/>
        <v>0</v>
      </c>
      <c r="H476" s="42">
        <f t="shared" si="76"/>
        <v>0</v>
      </c>
      <c r="I476" s="42">
        <f t="shared" si="72"/>
        <v>0</v>
      </c>
      <c r="J476" s="42">
        <f>SUM($H$18:$H476)</f>
        <v>56662.459231846187</v>
      </c>
    </row>
    <row r="477" spans="1:10" x14ac:dyDescent="0.2">
      <c r="A477" s="39">
        <f t="shared" si="73"/>
        <v>460</v>
      </c>
      <c r="B477" s="40">
        <f t="shared" si="69"/>
        <v>55975</v>
      </c>
      <c r="C477" s="41">
        <f t="shared" si="74"/>
        <v>0</v>
      </c>
      <c r="D477" s="42">
        <f t="shared" si="77"/>
        <v>479.39572008846164</v>
      </c>
      <c r="E477" s="60">
        <f t="shared" si="70"/>
        <v>0</v>
      </c>
      <c r="F477" s="42">
        <f t="shared" si="71"/>
        <v>0</v>
      </c>
      <c r="G477" s="42">
        <f t="shared" si="75"/>
        <v>0</v>
      </c>
      <c r="H477" s="42">
        <f t="shared" si="76"/>
        <v>0</v>
      </c>
      <c r="I477" s="42">
        <f t="shared" si="72"/>
        <v>0</v>
      </c>
      <c r="J477" s="42">
        <f>SUM($H$18:$H477)</f>
        <v>56662.459231846187</v>
      </c>
    </row>
    <row r="478" spans="1:10" x14ac:dyDescent="0.2">
      <c r="A478" s="39">
        <f t="shared" si="73"/>
        <v>461</v>
      </c>
      <c r="B478" s="40">
        <f t="shared" si="69"/>
        <v>56005</v>
      </c>
      <c r="C478" s="41">
        <f t="shared" si="74"/>
        <v>0</v>
      </c>
      <c r="D478" s="42">
        <f t="shared" si="77"/>
        <v>479.39572008846164</v>
      </c>
      <c r="E478" s="60">
        <f t="shared" si="70"/>
        <v>0</v>
      </c>
      <c r="F478" s="42">
        <f t="shared" si="71"/>
        <v>0</v>
      </c>
      <c r="G478" s="42">
        <f t="shared" si="75"/>
        <v>0</v>
      </c>
      <c r="H478" s="42">
        <f t="shared" si="76"/>
        <v>0</v>
      </c>
      <c r="I478" s="42">
        <f t="shared" si="72"/>
        <v>0</v>
      </c>
      <c r="J478" s="42">
        <f>SUM($H$18:$H478)</f>
        <v>56662.459231846187</v>
      </c>
    </row>
    <row r="479" spans="1:10" x14ac:dyDescent="0.2">
      <c r="A479" s="39">
        <f t="shared" si="73"/>
        <v>462</v>
      </c>
      <c r="B479" s="40">
        <f t="shared" si="69"/>
        <v>56036</v>
      </c>
      <c r="C479" s="41">
        <f t="shared" si="74"/>
        <v>0</v>
      </c>
      <c r="D479" s="42">
        <f t="shared" si="77"/>
        <v>479.39572008846164</v>
      </c>
      <c r="E479" s="60">
        <f t="shared" si="70"/>
        <v>0</v>
      </c>
      <c r="F479" s="42">
        <f t="shared" si="71"/>
        <v>0</v>
      </c>
      <c r="G479" s="42">
        <f t="shared" si="75"/>
        <v>0</v>
      </c>
      <c r="H479" s="42">
        <f t="shared" si="76"/>
        <v>0</v>
      </c>
      <c r="I479" s="42">
        <f t="shared" si="72"/>
        <v>0</v>
      </c>
      <c r="J479" s="42">
        <f>SUM($H$18:$H479)</f>
        <v>56662.459231846187</v>
      </c>
    </row>
    <row r="480" spans="1:10" x14ac:dyDescent="0.2">
      <c r="A480" s="39">
        <f t="shared" si="73"/>
        <v>463</v>
      </c>
      <c r="B480" s="40">
        <f t="shared" si="69"/>
        <v>56066</v>
      </c>
      <c r="C480" s="41">
        <f t="shared" si="74"/>
        <v>0</v>
      </c>
      <c r="D480" s="42">
        <f t="shared" si="77"/>
        <v>479.39572008846164</v>
      </c>
      <c r="E480" s="60">
        <f t="shared" si="70"/>
        <v>0</v>
      </c>
      <c r="F480" s="42">
        <f t="shared" si="71"/>
        <v>0</v>
      </c>
      <c r="G480" s="42">
        <f t="shared" si="75"/>
        <v>0</v>
      </c>
      <c r="H480" s="42">
        <f t="shared" si="76"/>
        <v>0</v>
      </c>
      <c r="I480" s="42">
        <f t="shared" si="72"/>
        <v>0</v>
      </c>
      <c r="J480" s="42">
        <f>SUM($H$18:$H480)</f>
        <v>56662.459231846187</v>
      </c>
    </row>
    <row r="481" spans="1:10" x14ac:dyDescent="0.2">
      <c r="A481" s="39">
        <f t="shared" si="73"/>
        <v>464</v>
      </c>
      <c r="B481" s="40">
        <f t="shared" si="69"/>
        <v>56097</v>
      </c>
      <c r="C481" s="41">
        <f t="shared" si="74"/>
        <v>0</v>
      </c>
      <c r="D481" s="42">
        <f t="shared" si="77"/>
        <v>479.39572008846164</v>
      </c>
      <c r="E481" s="60">
        <f t="shared" si="70"/>
        <v>0</v>
      </c>
      <c r="F481" s="42">
        <f t="shared" si="71"/>
        <v>0</v>
      </c>
      <c r="G481" s="42">
        <f t="shared" si="75"/>
        <v>0</v>
      </c>
      <c r="H481" s="42">
        <f t="shared" si="76"/>
        <v>0</v>
      </c>
      <c r="I481" s="42">
        <f t="shared" si="72"/>
        <v>0</v>
      </c>
      <c r="J481" s="42">
        <f>SUM($H$18:$H481)</f>
        <v>56662.459231846187</v>
      </c>
    </row>
    <row r="482" spans="1:10" x14ac:dyDescent="0.2">
      <c r="A482" s="39">
        <f t="shared" si="73"/>
        <v>465</v>
      </c>
      <c r="B482" s="40">
        <f t="shared" si="69"/>
        <v>56128</v>
      </c>
      <c r="C482" s="41">
        <f t="shared" si="74"/>
        <v>0</v>
      </c>
      <c r="D482" s="42">
        <f t="shared" si="77"/>
        <v>479.39572008846164</v>
      </c>
      <c r="E482" s="60">
        <f t="shared" si="70"/>
        <v>0</v>
      </c>
      <c r="F482" s="42">
        <f t="shared" si="71"/>
        <v>0</v>
      </c>
      <c r="G482" s="42">
        <f t="shared" si="75"/>
        <v>0</v>
      </c>
      <c r="H482" s="42">
        <f t="shared" si="76"/>
        <v>0</v>
      </c>
      <c r="I482" s="42">
        <f t="shared" si="72"/>
        <v>0</v>
      </c>
      <c r="J482" s="42">
        <f>SUM($H$18:$H482)</f>
        <v>56662.459231846187</v>
      </c>
    </row>
    <row r="483" spans="1:10" x14ac:dyDescent="0.2">
      <c r="A483" s="39">
        <f t="shared" si="73"/>
        <v>466</v>
      </c>
      <c r="B483" s="40">
        <f t="shared" si="69"/>
        <v>56158</v>
      </c>
      <c r="C483" s="41">
        <f t="shared" si="74"/>
        <v>0</v>
      </c>
      <c r="D483" s="42">
        <f t="shared" si="77"/>
        <v>479.39572008846164</v>
      </c>
      <c r="E483" s="60">
        <f t="shared" si="70"/>
        <v>0</v>
      </c>
      <c r="F483" s="42">
        <f t="shared" si="71"/>
        <v>0</v>
      </c>
      <c r="G483" s="42">
        <f t="shared" si="75"/>
        <v>0</v>
      </c>
      <c r="H483" s="42">
        <f t="shared" si="76"/>
        <v>0</v>
      </c>
      <c r="I483" s="42">
        <f t="shared" si="72"/>
        <v>0</v>
      </c>
      <c r="J483" s="42">
        <f>SUM($H$18:$H483)</f>
        <v>56662.459231846187</v>
      </c>
    </row>
    <row r="484" spans="1:10" x14ac:dyDescent="0.2">
      <c r="A484" s="39">
        <f t="shared" si="73"/>
        <v>467</v>
      </c>
      <c r="B484" s="40">
        <f t="shared" si="69"/>
        <v>56189</v>
      </c>
      <c r="C484" s="41">
        <f t="shared" si="74"/>
        <v>0</v>
      </c>
      <c r="D484" s="42">
        <f t="shared" si="77"/>
        <v>479.39572008846164</v>
      </c>
      <c r="E484" s="60">
        <f t="shared" si="70"/>
        <v>0</v>
      </c>
      <c r="F484" s="42">
        <f t="shared" si="71"/>
        <v>0</v>
      </c>
      <c r="G484" s="42">
        <f t="shared" si="75"/>
        <v>0</v>
      </c>
      <c r="H484" s="42">
        <f t="shared" si="76"/>
        <v>0</v>
      </c>
      <c r="I484" s="42">
        <f t="shared" si="72"/>
        <v>0</v>
      </c>
      <c r="J484" s="42">
        <f>SUM($H$18:$H484)</f>
        <v>56662.459231846187</v>
      </c>
    </row>
    <row r="485" spans="1:10" x14ac:dyDescent="0.2">
      <c r="A485" s="39">
        <f t="shared" si="73"/>
        <v>468</v>
      </c>
      <c r="B485" s="40">
        <f t="shared" si="69"/>
        <v>56219</v>
      </c>
      <c r="C485" s="41">
        <f t="shared" si="74"/>
        <v>0</v>
      </c>
      <c r="D485" s="42">
        <f t="shared" si="77"/>
        <v>479.39572008846164</v>
      </c>
      <c r="E485" s="60">
        <f t="shared" si="70"/>
        <v>0</v>
      </c>
      <c r="F485" s="42">
        <f t="shared" si="71"/>
        <v>0</v>
      </c>
      <c r="G485" s="42">
        <f t="shared" si="75"/>
        <v>0</v>
      </c>
      <c r="H485" s="42">
        <f t="shared" si="76"/>
        <v>0</v>
      </c>
      <c r="I485" s="42">
        <f t="shared" si="72"/>
        <v>0</v>
      </c>
      <c r="J485" s="42">
        <f>SUM($H$18:$H485)</f>
        <v>56662.459231846187</v>
      </c>
    </row>
    <row r="486" spans="1:10" x14ac:dyDescent="0.2">
      <c r="A486" s="39">
        <f t="shared" si="73"/>
        <v>469</v>
      </c>
      <c r="B486" s="40">
        <f t="shared" si="69"/>
        <v>56250</v>
      </c>
      <c r="C486" s="41">
        <f t="shared" si="74"/>
        <v>0</v>
      </c>
      <c r="D486" s="42">
        <f t="shared" si="77"/>
        <v>479.39572008846164</v>
      </c>
      <c r="E486" s="60">
        <f t="shared" si="70"/>
        <v>0</v>
      </c>
      <c r="F486" s="42">
        <f t="shared" si="71"/>
        <v>0</v>
      </c>
      <c r="G486" s="42">
        <f t="shared" si="75"/>
        <v>0</v>
      </c>
      <c r="H486" s="42">
        <f t="shared" si="76"/>
        <v>0</v>
      </c>
      <c r="I486" s="42">
        <f t="shared" si="72"/>
        <v>0</v>
      </c>
      <c r="J486" s="42">
        <f>SUM($H$18:$H486)</f>
        <v>56662.459231846187</v>
      </c>
    </row>
    <row r="487" spans="1:10" x14ac:dyDescent="0.2">
      <c r="A487" s="39">
        <f t="shared" si="73"/>
        <v>470</v>
      </c>
      <c r="B487" s="40">
        <f t="shared" si="69"/>
        <v>56281</v>
      </c>
      <c r="C487" s="41">
        <f t="shared" si="74"/>
        <v>0</v>
      </c>
      <c r="D487" s="42">
        <f t="shared" si="77"/>
        <v>479.39572008846164</v>
      </c>
      <c r="E487" s="60">
        <f t="shared" si="70"/>
        <v>0</v>
      </c>
      <c r="F487" s="42">
        <f t="shared" si="71"/>
        <v>0</v>
      </c>
      <c r="G487" s="42">
        <f t="shared" si="75"/>
        <v>0</v>
      </c>
      <c r="H487" s="42">
        <f t="shared" si="76"/>
        <v>0</v>
      </c>
      <c r="I487" s="42">
        <f t="shared" si="72"/>
        <v>0</v>
      </c>
      <c r="J487" s="42">
        <f>SUM($H$18:$H487)</f>
        <v>56662.459231846187</v>
      </c>
    </row>
    <row r="488" spans="1:10" x14ac:dyDescent="0.2">
      <c r="A488" s="39">
        <f t="shared" si="73"/>
        <v>471</v>
      </c>
      <c r="B488" s="40">
        <f t="shared" si="69"/>
        <v>56309</v>
      </c>
      <c r="C488" s="41">
        <f t="shared" si="74"/>
        <v>0</v>
      </c>
      <c r="D488" s="42">
        <f t="shared" si="77"/>
        <v>479.39572008846164</v>
      </c>
      <c r="E488" s="60">
        <f t="shared" si="70"/>
        <v>0</v>
      </c>
      <c r="F488" s="42">
        <f t="shared" si="71"/>
        <v>0</v>
      </c>
      <c r="G488" s="42">
        <f t="shared" si="75"/>
        <v>0</v>
      </c>
      <c r="H488" s="42">
        <f t="shared" si="76"/>
        <v>0</v>
      </c>
      <c r="I488" s="42">
        <f t="shared" si="72"/>
        <v>0</v>
      </c>
      <c r="J488" s="42">
        <f>SUM($H$18:$H488)</f>
        <v>56662.459231846187</v>
      </c>
    </row>
    <row r="489" spans="1:10" x14ac:dyDescent="0.2">
      <c r="A489" s="39">
        <f t="shared" si="73"/>
        <v>472</v>
      </c>
      <c r="B489" s="40">
        <f t="shared" si="69"/>
        <v>56340</v>
      </c>
      <c r="C489" s="41">
        <f t="shared" si="74"/>
        <v>0</v>
      </c>
      <c r="D489" s="42">
        <f t="shared" si="77"/>
        <v>479.39572008846164</v>
      </c>
      <c r="E489" s="60">
        <f t="shared" si="70"/>
        <v>0</v>
      </c>
      <c r="F489" s="42">
        <f t="shared" si="71"/>
        <v>0</v>
      </c>
      <c r="G489" s="42">
        <f t="shared" si="75"/>
        <v>0</v>
      </c>
      <c r="H489" s="42">
        <f t="shared" si="76"/>
        <v>0</v>
      </c>
      <c r="I489" s="42">
        <f t="shared" si="72"/>
        <v>0</v>
      </c>
      <c r="J489" s="42">
        <f>SUM($H$18:$H489)</f>
        <v>56662.459231846187</v>
      </c>
    </row>
    <row r="490" spans="1:10" x14ac:dyDescent="0.2">
      <c r="A490" s="39">
        <f t="shared" si="73"/>
        <v>473</v>
      </c>
      <c r="B490" s="40">
        <f t="shared" si="69"/>
        <v>56370</v>
      </c>
      <c r="C490" s="41">
        <f t="shared" si="74"/>
        <v>0</v>
      </c>
      <c r="D490" s="42">
        <f t="shared" si="77"/>
        <v>479.39572008846164</v>
      </c>
      <c r="E490" s="60">
        <f t="shared" si="70"/>
        <v>0</v>
      </c>
      <c r="F490" s="42">
        <f t="shared" si="71"/>
        <v>0</v>
      </c>
      <c r="G490" s="42">
        <f t="shared" si="75"/>
        <v>0</v>
      </c>
      <c r="H490" s="42">
        <f t="shared" si="76"/>
        <v>0</v>
      </c>
      <c r="I490" s="42">
        <f t="shared" si="72"/>
        <v>0</v>
      </c>
      <c r="J490" s="42">
        <f>SUM($H$18:$H490)</f>
        <v>56662.459231846187</v>
      </c>
    </row>
    <row r="491" spans="1:10" x14ac:dyDescent="0.2">
      <c r="A491" s="39">
        <f t="shared" si="73"/>
        <v>474</v>
      </c>
      <c r="B491" s="40">
        <f t="shared" si="69"/>
        <v>56401</v>
      </c>
      <c r="C491" s="41">
        <f t="shared" si="74"/>
        <v>0</v>
      </c>
      <c r="D491" s="42">
        <f t="shared" si="77"/>
        <v>479.39572008846164</v>
      </c>
      <c r="E491" s="60">
        <f t="shared" si="70"/>
        <v>0</v>
      </c>
      <c r="F491" s="42">
        <f t="shared" si="71"/>
        <v>0</v>
      </c>
      <c r="G491" s="42">
        <f t="shared" si="75"/>
        <v>0</v>
      </c>
      <c r="H491" s="42">
        <f t="shared" si="76"/>
        <v>0</v>
      </c>
      <c r="I491" s="42">
        <f t="shared" si="72"/>
        <v>0</v>
      </c>
      <c r="J491" s="42">
        <f>SUM($H$18:$H491)</f>
        <v>56662.459231846187</v>
      </c>
    </row>
    <row r="492" spans="1:10" x14ac:dyDescent="0.2">
      <c r="A492" s="39">
        <f t="shared" si="73"/>
        <v>475</v>
      </c>
      <c r="B492" s="40">
        <f t="shared" si="69"/>
        <v>56431</v>
      </c>
      <c r="C492" s="41">
        <f t="shared" si="74"/>
        <v>0</v>
      </c>
      <c r="D492" s="42">
        <f t="shared" si="77"/>
        <v>479.39572008846164</v>
      </c>
      <c r="E492" s="60">
        <f t="shared" si="70"/>
        <v>0</v>
      </c>
      <c r="F492" s="42">
        <f t="shared" si="71"/>
        <v>0</v>
      </c>
      <c r="G492" s="42">
        <f t="shared" si="75"/>
        <v>0</v>
      </c>
      <c r="H492" s="42">
        <f t="shared" si="76"/>
        <v>0</v>
      </c>
      <c r="I492" s="42">
        <f t="shared" si="72"/>
        <v>0</v>
      </c>
      <c r="J492" s="42">
        <f>SUM($H$18:$H492)</f>
        <v>56662.459231846187</v>
      </c>
    </row>
    <row r="493" spans="1:10" x14ac:dyDescent="0.2">
      <c r="A493" s="39">
        <f t="shared" si="73"/>
        <v>476</v>
      </c>
      <c r="B493" s="40">
        <f t="shared" si="69"/>
        <v>56462</v>
      </c>
      <c r="C493" s="41">
        <f t="shared" si="74"/>
        <v>0</v>
      </c>
      <c r="D493" s="42">
        <f t="shared" si="77"/>
        <v>479.39572008846164</v>
      </c>
      <c r="E493" s="60">
        <f t="shared" si="70"/>
        <v>0</v>
      </c>
      <c r="F493" s="42">
        <f t="shared" si="71"/>
        <v>0</v>
      </c>
      <c r="G493" s="42">
        <f t="shared" si="75"/>
        <v>0</v>
      </c>
      <c r="H493" s="42">
        <f t="shared" si="76"/>
        <v>0</v>
      </c>
      <c r="I493" s="42">
        <f t="shared" si="72"/>
        <v>0</v>
      </c>
      <c r="J493" s="42">
        <f>SUM($H$18:$H493)</f>
        <v>56662.459231846187</v>
      </c>
    </row>
    <row r="494" spans="1:10" x14ac:dyDescent="0.2">
      <c r="A494" s="39">
        <f t="shared" si="73"/>
        <v>477</v>
      </c>
      <c r="B494" s="40">
        <f t="shared" si="69"/>
        <v>56493</v>
      </c>
      <c r="C494" s="41">
        <f t="shared" si="74"/>
        <v>0</v>
      </c>
      <c r="D494" s="42">
        <f t="shared" si="77"/>
        <v>479.39572008846164</v>
      </c>
      <c r="E494" s="60">
        <f t="shared" si="70"/>
        <v>0</v>
      </c>
      <c r="F494" s="42">
        <f t="shared" si="71"/>
        <v>0</v>
      </c>
      <c r="G494" s="42">
        <f t="shared" si="75"/>
        <v>0</v>
      </c>
      <c r="H494" s="42">
        <f t="shared" si="76"/>
        <v>0</v>
      </c>
      <c r="I494" s="42">
        <f t="shared" si="72"/>
        <v>0</v>
      </c>
      <c r="J494" s="42">
        <f>SUM($H$18:$H494)</f>
        <v>56662.459231846187</v>
      </c>
    </row>
    <row r="495" spans="1:10" x14ac:dyDescent="0.2">
      <c r="A495" s="39">
        <f t="shared" si="73"/>
        <v>478</v>
      </c>
      <c r="B495" s="40">
        <f t="shared" si="69"/>
        <v>56523</v>
      </c>
      <c r="C495" s="41">
        <f t="shared" si="74"/>
        <v>0</v>
      </c>
      <c r="D495" s="42">
        <f t="shared" si="77"/>
        <v>479.39572008846164</v>
      </c>
      <c r="E495" s="60">
        <f t="shared" si="70"/>
        <v>0</v>
      </c>
      <c r="F495" s="42">
        <f t="shared" si="71"/>
        <v>0</v>
      </c>
      <c r="G495" s="42">
        <f t="shared" si="75"/>
        <v>0</v>
      </c>
      <c r="H495" s="42">
        <f t="shared" si="76"/>
        <v>0</v>
      </c>
      <c r="I495" s="42">
        <f t="shared" si="72"/>
        <v>0</v>
      </c>
      <c r="J495" s="42">
        <f>SUM($H$18:$H495)</f>
        <v>56662.459231846187</v>
      </c>
    </row>
    <row r="496" spans="1:10" x14ac:dyDescent="0.2">
      <c r="A496" s="39">
        <f t="shared" si="73"/>
        <v>479</v>
      </c>
      <c r="B496" s="40">
        <f t="shared" si="69"/>
        <v>56554</v>
      </c>
      <c r="C496" s="41">
        <f t="shared" si="74"/>
        <v>0</v>
      </c>
      <c r="D496" s="42">
        <f t="shared" si="77"/>
        <v>479.39572008846164</v>
      </c>
      <c r="E496" s="60">
        <f t="shared" si="70"/>
        <v>0</v>
      </c>
      <c r="F496" s="42">
        <f t="shared" si="71"/>
        <v>0</v>
      </c>
      <c r="G496" s="42">
        <f t="shared" si="75"/>
        <v>0</v>
      </c>
      <c r="H496" s="42">
        <f t="shared" si="76"/>
        <v>0</v>
      </c>
      <c r="I496" s="42">
        <f t="shared" si="72"/>
        <v>0</v>
      </c>
      <c r="J496" s="42">
        <f>SUM($H$18:$H496)</f>
        <v>56662.459231846187</v>
      </c>
    </row>
    <row r="497" spans="1:10" x14ac:dyDescent="0.2">
      <c r="A497" s="39">
        <f t="shared" si="73"/>
        <v>480</v>
      </c>
      <c r="B497" s="40">
        <f t="shared" si="69"/>
        <v>56584</v>
      </c>
      <c r="C497" s="41">
        <f t="shared" si="74"/>
        <v>0</v>
      </c>
      <c r="D497" s="42">
        <f t="shared" si="77"/>
        <v>479.39572008846164</v>
      </c>
      <c r="E497" s="60">
        <f t="shared" si="70"/>
        <v>0</v>
      </c>
      <c r="F497" s="42">
        <f t="shared" si="71"/>
        <v>0</v>
      </c>
      <c r="G497" s="42">
        <f t="shared" si="75"/>
        <v>0</v>
      </c>
      <c r="H497" s="42">
        <f t="shared" si="76"/>
        <v>0</v>
      </c>
      <c r="I497" s="42">
        <f t="shared" si="72"/>
        <v>0</v>
      </c>
      <c r="J497" s="42">
        <f>SUM($H$18:$H497)</f>
        <v>56662.459231846187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97"/>
  <sheetViews>
    <sheetView workbookViewId="0">
      <selection activeCell="F18" sqref="F18"/>
    </sheetView>
  </sheetViews>
  <sheetFormatPr baseColWidth="10" defaultColWidth="11.5" defaultRowHeight="14" x14ac:dyDescent="0.2"/>
  <cols>
    <col min="1" max="1" width="5.6640625" style="20" customWidth="1"/>
    <col min="2" max="2" width="14.1640625" style="43" customWidth="1"/>
    <col min="3" max="3" width="19.5" style="43" customWidth="1"/>
    <col min="4" max="8" width="13.1640625" style="43" customWidth="1"/>
    <col min="9" max="10" width="19.5" style="43" customWidth="1"/>
    <col min="11" max="255" width="8.1640625" style="10" customWidth="1"/>
    <col min="256" max="16384" width="11.5" style="1"/>
  </cols>
  <sheetData>
    <row r="1" spans="1:256" ht="24" customHeight="1" x14ac:dyDescent="0.3">
      <c r="A1" s="9" t="s">
        <v>154</v>
      </c>
      <c r="B1" s="10"/>
      <c r="C1" s="10"/>
      <c r="D1" s="10"/>
      <c r="E1" s="11"/>
      <c r="F1" s="11"/>
      <c r="G1" s="11"/>
      <c r="H1" s="11"/>
      <c r="I1" s="11"/>
      <c r="J1" s="11"/>
    </row>
    <row r="2" spans="1:256" ht="3" customHeight="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</row>
    <row r="3" spans="1:256" ht="20.25" customHeight="1" x14ac:dyDescent="0.2">
      <c r="A3" s="11"/>
      <c r="B3" s="14"/>
      <c r="C3" s="14"/>
      <c r="D3" s="14"/>
      <c r="E3" s="14"/>
      <c r="F3" s="14"/>
      <c r="G3" s="14"/>
      <c r="H3" s="14"/>
      <c r="I3" s="14"/>
      <c r="J3" s="14"/>
    </row>
    <row r="4" spans="1:256" s="10" customFormat="1" ht="14.25" customHeight="1" x14ac:dyDescent="0.2">
      <c r="A4" s="11"/>
      <c r="B4" s="15" t="s">
        <v>127</v>
      </c>
      <c r="C4" s="15"/>
      <c r="D4" s="15"/>
      <c r="E4" s="11"/>
      <c r="H4" s="16"/>
      <c r="I4" s="16"/>
      <c r="J4" s="16"/>
    </row>
    <row r="5" spans="1:256" x14ac:dyDescent="0.2">
      <c r="A5" s="11"/>
      <c r="B5" s="17"/>
      <c r="C5" s="18"/>
      <c r="D5" s="19"/>
      <c r="E5" s="20"/>
      <c r="F5" s="10"/>
      <c r="G5" s="10"/>
      <c r="H5" s="17"/>
      <c r="I5" s="21"/>
      <c r="J5" s="22"/>
    </row>
    <row r="6" spans="1:256" x14ac:dyDescent="0.2">
      <c r="A6" s="11"/>
      <c r="B6" s="17"/>
      <c r="C6" s="18" t="s">
        <v>155</v>
      </c>
      <c r="D6" s="23">
        <f>'1 Year Proforma + 30 year'!C55</f>
        <v>0.03</v>
      </c>
      <c r="E6" s="20"/>
      <c r="F6" s="10"/>
      <c r="G6" s="10"/>
      <c r="H6" s="17"/>
      <c r="I6" s="21"/>
      <c r="J6" s="24"/>
    </row>
    <row r="7" spans="1:256" s="10" customFormat="1" x14ac:dyDescent="0.2">
      <c r="A7" s="11"/>
      <c r="B7" s="17"/>
      <c r="C7" s="18" t="s">
        <v>156</v>
      </c>
      <c r="D7" s="1">
        <f>'1 Year Proforma + 30 year'!C17</f>
        <v>1295</v>
      </c>
      <c r="E7" s="11"/>
      <c r="H7" s="17"/>
      <c r="I7" s="21"/>
      <c r="J7" s="24"/>
    </row>
    <row r="8" spans="1:256" s="10" customFormat="1" x14ac:dyDescent="0.2">
      <c r="A8" s="11"/>
      <c r="B8" s="17"/>
      <c r="C8" s="18"/>
      <c r="D8" s="1"/>
      <c r="E8" s="11"/>
      <c r="H8" s="17"/>
      <c r="I8" s="21"/>
      <c r="J8" s="22"/>
    </row>
    <row r="9" spans="1:256" s="10" customFormat="1" x14ac:dyDescent="0.2">
      <c r="A9" s="11"/>
      <c r="B9" s="17"/>
      <c r="C9" s="18"/>
      <c r="D9" s="1"/>
      <c r="E9" s="11"/>
      <c r="H9" s="25"/>
      <c r="I9" s="26"/>
      <c r="J9" s="22"/>
    </row>
    <row r="10" spans="1:256" x14ac:dyDescent="0.2">
      <c r="A10" s="11"/>
      <c r="B10" s="25"/>
      <c r="C10" s="27"/>
      <c r="D10" s="28"/>
      <c r="E10" s="11"/>
      <c r="F10" s="14"/>
      <c r="G10" s="14"/>
      <c r="H10" s="14"/>
      <c r="I10" s="14"/>
      <c r="J10" s="11"/>
    </row>
    <row r="11" spans="1:256" x14ac:dyDescent="0.2">
      <c r="A11" s="11"/>
      <c r="B11" s="14"/>
      <c r="C11" s="14"/>
      <c r="D11" s="14"/>
      <c r="E11" s="14"/>
      <c r="F11" s="14"/>
      <c r="G11" s="14"/>
      <c r="H11" s="14"/>
      <c r="I11" s="14"/>
      <c r="J11" s="14"/>
    </row>
    <row r="12" spans="1:256" x14ac:dyDescent="0.2">
      <c r="A12" s="11"/>
      <c r="B12" s="18"/>
      <c r="C12" s="29"/>
      <c r="D12" s="29"/>
      <c r="E12" s="14"/>
      <c r="F12" s="14"/>
      <c r="G12" s="14"/>
      <c r="H12" s="14"/>
      <c r="I12" s="14"/>
      <c r="J12" s="14"/>
    </row>
    <row r="13" spans="1:256" x14ac:dyDescent="0.2">
      <c r="A13" s="11"/>
      <c r="B13" s="18"/>
      <c r="C13" s="30"/>
      <c r="D13" s="30"/>
      <c r="E13" s="14"/>
      <c r="F13" s="14"/>
      <c r="G13" s="14"/>
      <c r="H13" s="14"/>
      <c r="I13" s="14"/>
      <c r="J13" s="14"/>
    </row>
    <row r="14" spans="1:256" ht="6" customHeight="1" x14ac:dyDescent="0.2">
      <c r="B14" s="10"/>
      <c r="C14" s="10"/>
      <c r="D14" s="10"/>
      <c r="E14" s="13"/>
      <c r="F14" s="13"/>
      <c r="G14" s="13"/>
      <c r="H14" s="13"/>
      <c r="I14" s="13"/>
      <c r="J14" s="13"/>
    </row>
    <row r="15" spans="1:256" s="10" customFormat="1" ht="3.75" customHeight="1" x14ac:dyDescent="0.2">
      <c r="A15" s="44"/>
      <c r="B15" s="46"/>
      <c r="C15" s="46"/>
      <c r="D15" s="46"/>
      <c r="IP15" s="1"/>
      <c r="IQ15" s="1"/>
      <c r="IR15" s="1"/>
      <c r="IS15" s="1"/>
      <c r="IT15" s="1"/>
      <c r="IU15" s="1"/>
      <c r="IV15" s="1"/>
    </row>
    <row r="16" spans="1:256" s="34" customFormat="1" ht="30" x14ac:dyDescent="0.2">
      <c r="A16" s="31" t="s">
        <v>143</v>
      </c>
      <c r="B16" s="32" t="s">
        <v>144</v>
      </c>
      <c r="C16" s="32" t="s">
        <v>157</v>
      </c>
      <c r="D16" s="33" t="s">
        <v>158</v>
      </c>
    </row>
    <row r="17" spans="1:256" s="34" customFormat="1" ht="6" customHeight="1" x14ac:dyDescent="0.2">
      <c r="A17" s="44"/>
      <c r="B17" s="45"/>
      <c r="C17" s="45"/>
      <c r="D17" s="45"/>
    </row>
    <row r="18" spans="1:256" s="34" customFormat="1" x14ac:dyDescent="0.2">
      <c r="A18" s="35">
        <f>IF(Values_Entered,1,"")</f>
        <v>1</v>
      </c>
      <c r="B18" s="36">
        <f t="shared" ref="B18:B81" si="0">IF(Pay_Num&lt;&gt;"",DATE(YEAR(Loan_Start),MONTH(Loan_Start)+(Pay_Num)*12/Num_Pmt_Per_Year,DAY(Loan_Start)),"")</f>
        <v>42005</v>
      </c>
      <c r="C18" s="37">
        <f>D7</f>
        <v>1295</v>
      </c>
      <c r="D18" s="38">
        <f>C18</f>
        <v>1295</v>
      </c>
    </row>
    <row r="19" spans="1:256" s="34" customFormat="1" ht="16.75" customHeight="1" x14ac:dyDescent="0.2">
      <c r="A19" s="35">
        <f t="shared" ref="A19:A82" si="1">IF(Values_Entered,A18+1,"")</f>
        <v>2</v>
      </c>
      <c r="B19" s="36">
        <f t="shared" si="0"/>
        <v>42036</v>
      </c>
      <c r="C19" s="37">
        <f t="shared" ref="C19:C29" si="2">C18</f>
        <v>1295</v>
      </c>
      <c r="D19" s="38">
        <f t="shared" ref="D19:D82" si="3">D18+C19</f>
        <v>2590</v>
      </c>
    </row>
    <row r="20" spans="1:256" s="34" customFormat="1" ht="15.75" customHeight="1" x14ac:dyDescent="0.2">
      <c r="A20" s="35">
        <f t="shared" si="1"/>
        <v>3</v>
      </c>
      <c r="B20" s="36">
        <f t="shared" si="0"/>
        <v>42064</v>
      </c>
      <c r="C20" s="37">
        <f t="shared" si="2"/>
        <v>1295</v>
      </c>
      <c r="D20" s="38">
        <f t="shared" si="3"/>
        <v>3885</v>
      </c>
    </row>
    <row r="21" spans="1:256" s="34" customFormat="1" x14ac:dyDescent="0.2">
      <c r="A21" s="35">
        <f t="shared" si="1"/>
        <v>4</v>
      </c>
      <c r="B21" s="36">
        <f t="shared" si="0"/>
        <v>42095</v>
      </c>
      <c r="C21" s="37">
        <f t="shared" si="2"/>
        <v>1295</v>
      </c>
      <c r="D21" s="38">
        <f t="shared" si="3"/>
        <v>5180</v>
      </c>
    </row>
    <row r="22" spans="1:256" s="34" customFormat="1" x14ac:dyDescent="0.2">
      <c r="A22" s="35">
        <f t="shared" si="1"/>
        <v>5</v>
      </c>
      <c r="B22" s="36">
        <f t="shared" si="0"/>
        <v>42125</v>
      </c>
      <c r="C22" s="37">
        <f t="shared" si="2"/>
        <v>1295</v>
      </c>
      <c r="D22" s="38">
        <f t="shared" si="3"/>
        <v>6475</v>
      </c>
    </row>
    <row r="23" spans="1:256" s="10" customFormat="1" x14ac:dyDescent="0.2">
      <c r="A23" s="35">
        <f t="shared" si="1"/>
        <v>6</v>
      </c>
      <c r="B23" s="36">
        <f t="shared" si="0"/>
        <v>42156</v>
      </c>
      <c r="C23" s="37">
        <f t="shared" si="2"/>
        <v>1295</v>
      </c>
      <c r="D23" s="38">
        <f t="shared" si="3"/>
        <v>7770</v>
      </c>
      <c r="IP23" s="1"/>
      <c r="IQ23" s="1"/>
      <c r="IR23" s="1"/>
      <c r="IS23" s="1"/>
      <c r="IT23" s="1"/>
      <c r="IU23" s="1"/>
      <c r="IV23" s="1"/>
    </row>
    <row r="24" spans="1:256" s="10" customFormat="1" x14ac:dyDescent="0.2">
      <c r="A24" s="35">
        <f t="shared" si="1"/>
        <v>7</v>
      </c>
      <c r="B24" s="36">
        <f t="shared" si="0"/>
        <v>42186</v>
      </c>
      <c r="C24" s="37">
        <f t="shared" si="2"/>
        <v>1295</v>
      </c>
      <c r="D24" s="38">
        <f t="shared" si="3"/>
        <v>9065</v>
      </c>
      <c r="IP24" s="1"/>
      <c r="IQ24" s="1"/>
      <c r="IR24" s="1"/>
      <c r="IS24" s="1"/>
      <c r="IT24" s="1"/>
      <c r="IU24" s="1"/>
      <c r="IV24" s="1"/>
    </row>
    <row r="25" spans="1:256" s="10" customFormat="1" x14ac:dyDescent="0.2">
      <c r="A25" s="35">
        <f t="shared" si="1"/>
        <v>8</v>
      </c>
      <c r="B25" s="36">
        <f t="shared" si="0"/>
        <v>42217</v>
      </c>
      <c r="C25" s="37">
        <f t="shared" si="2"/>
        <v>1295</v>
      </c>
      <c r="D25" s="38">
        <f t="shared" si="3"/>
        <v>10360</v>
      </c>
      <c r="IP25" s="1"/>
      <c r="IQ25" s="1"/>
      <c r="IR25" s="1"/>
      <c r="IS25" s="1"/>
      <c r="IT25" s="1"/>
      <c r="IU25" s="1"/>
      <c r="IV25" s="1"/>
    </row>
    <row r="26" spans="1:256" s="10" customFormat="1" x14ac:dyDescent="0.2">
      <c r="A26" s="35">
        <f t="shared" si="1"/>
        <v>9</v>
      </c>
      <c r="B26" s="36">
        <f t="shared" si="0"/>
        <v>42248</v>
      </c>
      <c r="C26" s="37">
        <f t="shared" si="2"/>
        <v>1295</v>
      </c>
      <c r="D26" s="38">
        <f t="shared" si="3"/>
        <v>11655</v>
      </c>
      <c r="IP26" s="1"/>
      <c r="IQ26" s="1"/>
      <c r="IR26" s="1"/>
      <c r="IS26" s="1"/>
      <c r="IT26" s="1"/>
      <c r="IU26" s="1"/>
      <c r="IV26" s="1"/>
    </row>
    <row r="27" spans="1:256" s="10" customFormat="1" x14ac:dyDescent="0.2">
      <c r="A27" s="35">
        <f t="shared" si="1"/>
        <v>10</v>
      </c>
      <c r="B27" s="36">
        <f t="shared" si="0"/>
        <v>42278</v>
      </c>
      <c r="C27" s="37">
        <f t="shared" si="2"/>
        <v>1295</v>
      </c>
      <c r="D27" s="38">
        <f t="shared" si="3"/>
        <v>12950</v>
      </c>
      <c r="IP27" s="1"/>
      <c r="IQ27" s="1"/>
      <c r="IR27" s="1"/>
      <c r="IS27" s="1"/>
      <c r="IT27" s="1"/>
      <c r="IU27" s="1"/>
      <c r="IV27" s="1"/>
    </row>
    <row r="28" spans="1:256" s="10" customFormat="1" x14ac:dyDescent="0.2">
      <c r="A28" s="35">
        <f t="shared" si="1"/>
        <v>11</v>
      </c>
      <c r="B28" s="36">
        <f t="shared" si="0"/>
        <v>42309</v>
      </c>
      <c r="C28" s="37">
        <f t="shared" si="2"/>
        <v>1295</v>
      </c>
      <c r="D28" s="38">
        <f t="shared" si="3"/>
        <v>14245</v>
      </c>
      <c r="IP28" s="1"/>
      <c r="IQ28" s="1"/>
      <c r="IR28" s="1"/>
      <c r="IS28" s="1"/>
      <c r="IT28" s="1"/>
      <c r="IU28" s="1"/>
      <c r="IV28" s="1"/>
    </row>
    <row r="29" spans="1:256" s="10" customFormat="1" x14ac:dyDescent="0.2">
      <c r="A29" s="35">
        <f t="shared" si="1"/>
        <v>12</v>
      </c>
      <c r="B29" s="36">
        <f t="shared" si="0"/>
        <v>42339</v>
      </c>
      <c r="C29" s="37">
        <f t="shared" si="2"/>
        <v>1295</v>
      </c>
      <c r="D29" s="38">
        <f t="shared" si="3"/>
        <v>15540</v>
      </c>
      <c r="IP29" s="1"/>
      <c r="IQ29" s="1"/>
      <c r="IR29" s="1"/>
      <c r="IS29" s="1"/>
      <c r="IT29" s="1"/>
      <c r="IU29" s="1"/>
      <c r="IV29" s="1"/>
    </row>
    <row r="30" spans="1:256" s="10" customFormat="1" x14ac:dyDescent="0.2">
      <c r="A30" s="35">
        <f t="shared" si="1"/>
        <v>13</v>
      </c>
      <c r="B30" s="36">
        <f t="shared" si="0"/>
        <v>42370</v>
      </c>
      <c r="C30" s="37">
        <f>C29*(1+$D$6)</f>
        <v>1333.8500000000001</v>
      </c>
      <c r="D30" s="38">
        <f t="shared" si="3"/>
        <v>16873.849999999999</v>
      </c>
      <c r="IP30" s="1"/>
      <c r="IQ30" s="1"/>
      <c r="IR30" s="1"/>
      <c r="IS30" s="1"/>
      <c r="IT30" s="1"/>
      <c r="IU30" s="1"/>
      <c r="IV30" s="1"/>
    </row>
    <row r="31" spans="1:256" s="10" customFormat="1" x14ac:dyDescent="0.2">
      <c r="A31" s="35">
        <f t="shared" si="1"/>
        <v>14</v>
      </c>
      <c r="B31" s="36">
        <f t="shared" si="0"/>
        <v>42401</v>
      </c>
      <c r="C31" s="37">
        <f t="shared" ref="C31:C41" si="4">C30</f>
        <v>1333.8500000000001</v>
      </c>
      <c r="D31" s="38">
        <f t="shared" si="3"/>
        <v>18207.699999999997</v>
      </c>
      <c r="IP31" s="1"/>
      <c r="IQ31" s="1"/>
      <c r="IR31" s="1"/>
      <c r="IS31" s="1"/>
      <c r="IT31" s="1"/>
      <c r="IU31" s="1"/>
      <c r="IV31" s="1"/>
    </row>
    <row r="32" spans="1:256" s="10" customFormat="1" x14ac:dyDescent="0.2">
      <c r="A32" s="35">
        <f t="shared" si="1"/>
        <v>15</v>
      </c>
      <c r="B32" s="36">
        <f t="shared" si="0"/>
        <v>42430</v>
      </c>
      <c r="C32" s="37">
        <f t="shared" si="4"/>
        <v>1333.8500000000001</v>
      </c>
      <c r="D32" s="38">
        <f t="shared" si="3"/>
        <v>19541.549999999996</v>
      </c>
      <c r="IP32" s="1"/>
      <c r="IQ32" s="1"/>
      <c r="IR32" s="1"/>
      <c r="IS32" s="1"/>
      <c r="IT32" s="1"/>
      <c r="IU32" s="1"/>
      <c r="IV32" s="1"/>
    </row>
    <row r="33" spans="1:256" s="10" customFormat="1" x14ac:dyDescent="0.2">
      <c r="A33" s="35">
        <f t="shared" si="1"/>
        <v>16</v>
      </c>
      <c r="B33" s="36">
        <f t="shared" si="0"/>
        <v>42461</v>
      </c>
      <c r="C33" s="37">
        <f t="shared" si="4"/>
        <v>1333.8500000000001</v>
      </c>
      <c r="D33" s="38">
        <f t="shared" si="3"/>
        <v>20875.399999999994</v>
      </c>
      <c r="IP33" s="1"/>
      <c r="IQ33" s="1"/>
      <c r="IR33" s="1"/>
      <c r="IS33" s="1"/>
      <c r="IT33" s="1"/>
      <c r="IU33" s="1"/>
      <c r="IV33" s="1"/>
    </row>
    <row r="34" spans="1:256" s="10" customFormat="1" x14ac:dyDescent="0.2">
      <c r="A34" s="35">
        <f t="shared" si="1"/>
        <v>17</v>
      </c>
      <c r="B34" s="36">
        <f t="shared" si="0"/>
        <v>42491</v>
      </c>
      <c r="C34" s="37">
        <f t="shared" si="4"/>
        <v>1333.8500000000001</v>
      </c>
      <c r="D34" s="38">
        <f t="shared" si="3"/>
        <v>22209.249999999993</v>
      </c>
      <c r="IP34" s="1"/>
      <c r="IQ34" s="1"/>
      <c r="IR34" s="1"/>
      <c r="IS34" s="1"/>
      <c r="IT34" s="1"/>
      <c r="IU34" s="1"/>
      <c r="IV34" s="1"/>
    </row>
    <row r="35" spans="1:256" s="10" customFormat="1" x14ac:dyDescent="0.2">
      <c r="A35" s="35">
        <f t="shared" si="1"/>
        <v>18</v>
      </c>
      <c r="B35" s="36">
        <f t="shared" si="0"/>
        <v>42522</v>
      </c>
      <c r="C35" s="37">
        <f t="shared" si="4"/>
        <v>1333.8500000000001</v>
      </c>
      <c r="D35" s="38">
        <f t="shared" si="3"/>
        <v>23543.099999999991</v>
      </c>
      <c r="IP35" s="1"/>
      <c r="IQ35" s="1"/>
      <c r="IR35" s="1"/>
      <c r="IS35" s="1"/>
      <c r="IT35" s="1"/>
      <c r="IU35" s="1"/>
      <c r="IV35" s="1"/>
    </row>
    <row r="36" spans="1:256" s="10" customFormat="1" x14ac:dyDescent="0.2">
      <c r="A36" s="35">
        <f t="shared" si="1"/>
        <v>19</v>
      </c>
      <c r="B36" s="36">
        <f t="shared" si="0"/>
        <v>42552</v>
      </c>
      <c r="C36" s="37">
        <f t="shared" si="4"/>
        <v>1333.8500000000001</v>
      </c>
      <c r="D36" s="38">
        <f t="shared" si="3"/>
        <v>24876.94999999999</v>
      </c>
      <c r="IP36" s="1"/>
      <c r="IQ36" s="1"/>
      <c r="IR36" s="1"/>
      <c r="IS36" s="1"/>
      <c r="IT36" s="1"/>
      <c r="IU36" s="1"/>
      <c r="IV36" s="1"/>
    </row>
    <row r="37" spans="1:256" s="10" customFormat="1" x14ac:dyDescent="0.2">
      <c r="A37" s="35">
        <f t="shared" si="1"/>
        <v>20</v>
      </c>
      <c r="B37" s="36">
        <f t="shared" si="0"/>
        <v>42583</v>
      </c>
      <c r="C37" s="37">
        <f t="shared" si="4"/>
        <v>1333.8500000000001</v>
      </c>
      <c r="D37" s="38">
        <f t="shared" si="3"/>
        <v>26210.799999999988</v>
      </c>
      <c r="IP37" s="1"/>
      <c r="IQ37" s="1"/>
      <c r="IR37" s="1"/>
      <c r="IS37" s="1"/>
      <c r="IT37" s="1"/>
      <c r="IU37" s="1"/>
      <c r="IV37" s="1"/>
    </row>
    <row r="38" spans="1:256" s="10" customFormat="1" x14ac:dyDescent="0.2">
      <c r="A38" s="35">
        <f t="shared" si="1"/>
        <v>21</v>
      </c>
      <c r="B38" s="36">
        <f t="shared" si="0"/>
        <v>42614</v>
      </c>
      <c r="C38" s="37">
        <f t="shared" si="4"/>
        <v>1333.8500000000001</v>
      </c>
      <c r="D38" s="38">
        <f t="shared" si="3"/>
        <v>27544.649999999987</v>
      </c>
      <c r="IP38" s="1"/>
      <c r="IQ38" s="1"/>
      <c r="IR38" s="1"/>
      <c r="IS38" s="1"/>
      <c r="IT38" s="1"/>
      <c r="IU38" s="1"/>
      <c r="IV38" s="1"/>
    </row>
    <row r="39" spans="1:256" s="10" customFormat="1" x14ac:dyDescent="0.2">
      <c r="A39" s="35">
        <f t="shared" si="1"/>
        <v>22</v>
      </c>
      <c r="B39" s="36">
        <f t="shared" si="0"/>
        <v>42644</v>
      </c>
      <c r="C39" s="37">
        <f t="shared" si="4"/>
        <v>1333.8500000000001</v>
      </c>
      <c r="D39" s="38">
        <f t="shared" si="3"/>
        <v>28878.499999999985</v>
      </c>
      <c r="IP39" s="1"/>
      <c r="IQ39" s="1"/>
      <c r="IR39" s="1"/>
      <c r="IS39" s="1"/>
      <c r="IT39" s="1"/>
      <c r="IU39" s="1"/>
      <c r="IV39" s="1"/>
    </row>
    <row r="40" spans="1:256" s="10" customFormat="1" x14ac:dyDescent="0.2">
      <c r="A40" s="35">
        <f t="shared" si="1"/>
        <v>23</v>
      </c>
      <c r="B40" s="36">
        <f t="shared" si="0"/>
        <v>42675</v>
      </c>
      <c r="C40" s="37">
        <f t="shared" si="4"/>
        <v>1333.8500000000001</v>
      </c>
      <c r="D40" s="38">
        <f t="shared" si="3"/>
        <v>30212.349999999984</v>
      </c>
      <c r="IP40" s="1"/>
      <c r="IQ40" s="1"/>
      <c r="IR40" s="1"/>
      <c r="IS40" s="1"/>
      <c r="IT40" s="1"/>
      <c r="IU40" s="1"/>
      <c r="IV40" s="1"/>
    </row>
    <row r="41" spans="1:256" s="10" customFormat="1" x14ac:dyDescent="0.2">
      <c r="A41" s="35">
        <f t="shared" si="1"/>
        <v>24</v>
      </c>
      <c r="B41" s="36">
        <f t="shared" si="0"/>
        <v>42705</v>
      </c>
      <c r="C41" s="37">
        <f t="shared" si="4"/>
        <v>1333.8500000000001</v>
      </c>
      <c r="D41" s="38">
        <f t="shared" si="3"/>
        <v>31546.199999999983</v>
      </c>
      <c r="IP41" s="1"/>
      <c r="IQ41" s="1"/>
      <c r="IR41" s="1"/>
      <c r="IS41" s="1"/>
      <c r="IT41" s="1"/>
      <c r="IU41" s="1"/>
      <c r="IV41" s="1"/>
    </row>
    <row r="42" spans="1:256" s="10" customFormat="1" x14ac:dyDescent="0.2">
      <c r="A42" s="35">
        <f t="shared" si="1"/>
        <v>25</v>
      </c>
      <c r="B42" s="36">
        <f t="shared" si="0"/>
        <v>42736</v>
      </c>
      <c r="C42" s="37">
        <f>C41*(1+$D$6)</f>
        <v>1373.8655000000001</v>
      </c>
      <c r="D42" s="38">
        <f t="shared" si="3"/>
        <v>32920.065499999982</v>
      </c>
      <c r="IP42" s="1"/>
      <c r="IQ42" s="1"/>
      <c r="IR42" s="1"/>
      <c r="IS42" s="1"/>
      <c r="IT42" s="1"/>
      <c r="IU42" s="1"/>
      <c r="IV42" s="1"/>
    </row>
    <row r="43" spans="1:256" s="10" customFormat="1" x14ac:dyDescent="0.2">
      <c r="A43" s="35">
        <f t="shared" si="1"/>
        <v>26</v>
      </c>
      <c r="B43" s="36">
        <f t="shared" si="0"/>
        <v>42767</v>
      </c>
      <c r="C43" s="37">
        <f t="shared" ref="C43:C53" si="5">C42</f>
        <v>1373.8655000000001</v>
      </c>
      <c r="D43" s="38">
        <f t="shared" si="3"/>
        <v>34293.930999999982</v>
      </c>
      <c r="IP43" s="1"/>
      <c r="IQ43" s="1"/>
      <c r="IR43" s="1"/>
      <c r="IS43" s="1"/>
      <c r="IT43" s="1"/>
      <c r="IU43" s="1"/>
      <c r="IV43" s="1"/>
    </row>
    <row r="44" spans="1:256" s="10" customFormat="1" x14ac:dyDescent="0.2">
      <c r="A44" s="35">
        <f t="shared" si="1"/>
        <v>27</v>
      </c>
      <c r="B44" s="36">
        <f t="shared" si="0"/>
        <v>42795</v>
      </c>
      <c r="C44" s="37">
        <f t="shared" si="5"/>
        <v>1373.8655000000001</v>
      </c>
      <c r="D44" s="38">
        <f t="shared" si="3"/>
        <v>35667.796499999982</v>
      </c>
      <c r="IP44" s="1"/>
      <c r="IQ44" s="1"/>
      <c r="IR44" s="1"/>
      <c r="IS44" s="1"/>
      <c r="IT44" s="1"/>
      <c r="IU44" s="1"/>
      <c r="IV44" s="1"/>
    </row>
    <row r="45" spans="1:256" s="10" customFormat="1" x14ac:dyDescent="0.2">
      <c r="A45" s="35">
        <f t="shared" si="1"/>
        <v>28</v>
      </c>
      <c r="B45" s="36">
        <f t="shared" si="0"/>
        <v>42826</v>
      </c>
      <c r="C45" s="37">
        <f t="shared" si="5"/>
        <v>1373.8655000000001</v>
      </c>
      <c r="D45" s="38">
        <f t="shared" si="3"/>
        <v>37041.661999999982</v>
      </c>
      <c r="IP45" s="1"/>
      <c r="IQ45" s="1"/>
      <c r="IR45" s="1"/>
      <c r="IS45" s="1"/>
      <c r="IT45" s="1"/>
      <c r="IU45" s="1"/>
      <c r="IV45" s="1"/>
    </row>
    <row r="46" spans="1:256" s="10" customFormat="1" x14ac:dyDescent="0.2">
      <c r="A46" s="35">
        <f t="shared" si="1"/>
        <v>29</v>
      </c>
      <c r="B46" s="36">
        <f t="shared" si="0"/>
        <v>42856</v>
      </c>
      <c r="C46" s="37">
        <f t="shared" si="5"/>
        <v>1373.8655000000001</v>
      </c>
      <c r="D46" s="38">
        <f t="shared" si="3"/>
        <v>38415.527499999982</v>
      </c>
      <c r="IP46" s="1"/>
      <c r="IQ46" s="1"/>
      <c r="IR46" s="1"/>
      <c r="IS46" s="1"/>
      <c r="IT46" s="1"/>
      <c r="IU46" s="1"/>
      <c r="IV46" s="1"/>
    </row>
    <row r="47" spans="1:256" s="10" customFormat="1" x14ac:dyDescent="0.2">
      <c r="A47" s="35">
        <f t="shared" si="1"/>
        <v>30</v>
      </c>
      <c r="B47" s="36">
        <f t="shared" si="0"/>
        <v>42887</v>
      </c>
      <c r="C47" s="37">
        <f t="shared" si="5"/>
        <v>1373.8655000000001</v>
      </c>
      <c r="D47" s="38">
        <f t="shared" si="3"/>
        <v>39789.392999999982</v>
      </c>
      <c r="IP47" s="1"/>
      <c r="IQ47" s="1"/>
      <c r="IR47" s="1"/>
      <c r="IS47" s="1"/>
      <c r="IT47" s="1"/>
      <c r="IU47" s="1"/>
      <c r="IV47" s="1"/>
    </row>
    <row r="48" spans="1:256" s="10" customFormat="1" x14ac:dyDescent="0.2">
      <c r="A48" s="35">
        <f t="shared" si="1"/>
        <v>31</v>
      </c>
      <c r="B48" s="36">
        <f t="shared" si="0"/>
        <v>42917</v>
      </c>
      <c r="C48" s="37">
        <f t="shared" si="5"/>
        <v>1373.8655000000001</v>
      </c>
      <c r="D48" s="38">
        <f t="shared" si="3"/>
        <v>41163.258499999982</v>
      </c>
      <c r="IP48" s="1"/>
      <c r="IQ48" s="1"/>
      <c r="IR48" s="1"/>
      <c r="IS48" s="1"/>
      <c r="IT48" s="1"/>
      <c r="IU48" s="1"/>
      <c r="IV48" s="1"/>
    </row>
    <row r="49" spans="1:256" s="10" customFormat="1" x14ac:dyDescent="0.2">
      <c r="A49" s="35">
        <f t="shared" si="1"/>
        <v>32</v>
      </c>
      <c r="B49" s="36">
        <f t="shared" si="0"/>
        <v>42948</v>
      </c>
      <c r="C49" s="37">
        <f t="shared" si="5"/>
        <v>1373.8655000000001</v>
      </c>
      <c r="D49" s="38">
        <f t="shared" si="3"/>
        <v>42537.123999999982</v>
      </c>
      <c r="IP49" s="1"/>
      <c r="IQ49" s="1"/>
      <c r="IR49" s="1"/>
      <c r="IS49" s="1"/>
      <c r="IT49" s="1"/>
      <c r="IU49" s="1"/>
      <c r="IV49" s="1"/>
    </row>
    <row r="50" spans="1:256" s="10" customFormat="1" x14ac:dyDescent="0.2">
      <c r="A50" s="35">
        <f t="shared" si="1"/>
        <v>33</v>
      </c>
      <c r="B50" s="36">
        <f t="shared" si="0"/>
        <v>42979</v>
      </c>
      <c r="C50" s="37">
        <f t="shared" si="5"/>
        <v>1373.8655000000001</v>
      </c>
      <c r="D50" s="38">
        <f t="shared" si="3"/>
        <v>43910.989499999981</v>
      </c>
      <c r="IP50" s="1"/>
      <c r="IQ50" s="1"/>
      <c r="IR50" s="1"/>
      <c r="IS50" s="1"/>
      <c r="IT50" s="1"/>
      <c r="IU50" s="1"/>
      <c r="IV50" s="1"/>
    </row>
    <row r="51" spans="1:256" s="10" customFormat="1" x14ac:dyDescent="0.2">
      <c r="A51" s="35">
        <f t="shared" si="1"/>
        <v>34</v>
      </c>
      <c r="B51" s="36">
        <f t="shared" si="0"/>
        <v>43009</v>
      </c>
      <c r="C51" s="37">
        <f t="shared" si="5"/>
        <v>1373.8655000000001</v>
      </c>
      <c r="D51" s="38">
        <f t="shared" si="3"/>
        <v>45284.854999999981</v>
      </c>
      <c r="IP51" s="1"/>
      <c r="IQ51" s="1"/>
      <c r="IR51" s="1"/>
      <c r="IS51" s="1"/>
      <c r="IT51" s="1"/>
      <c r="IU51" s="1"/>
      <c r="IV51" s="1"/>
    </row>
    <row r="52" spans="1:256" s="10" customFormat="1" x14ac:dyDescent="0.2">
      <c r="A52" s="35">
        <f t="shared" si="1"/>
        <v>35</v>
      </c>
      <c r="B52" s="36">
        <f t="shared" si="0"/>
        <v>43040</v>
      </c>
      <c r="C52" s="37">
        <f t="shared" si="5"/>
        <v>1373.8655000000001</v>
      </c>
      <c r="D52" s="38">
        <f t="shared" si="3"/>
        <v>46658.720499999981</v>
      </c>
      <c r="IP52" s="1"/>
      <c r="IQ52" s="1"/>
      <c r="IR52" s="1"/>
      <c r="IS52" s="1"/>
      <c r="IT52" s="1"/>
      <c r="IU52" s="1"/>
      <c r="IV52" s="1"/>
    </row>
    <row r="53" spans="1:256" s="10" customFormat="1" x14ac:dyDescent="0.2">
      <c r="A53" s="35">
        <f t="shared" si="1"/>
        <v>36</v>
      </c>
      <c r="B53" s="36">
        <f t="shared" si="0"/>
        <v>43070</v>
      </c>
      <c r="C53" s="37">
        <f t="shared" si="5"/>
        <v>1373.8655000000001</v>
      </c>
      <c r="D53" s="38">
        <f t="shared" si="3"/>
        <v>48032.585999999981</v>
      </c>
      <c r="IP53" s="1"/>
      <c r="IQ53" s="1"/>
      <c r="IR53" s="1"/>
      <c r="IS53" s="1"/>
      <c r="IT53" s="1"/>
      <c r="IU53" s="1"/>
      <c r="IV53" s="1"/>
    </row>
    <row r="54" spans="1:256" s="10" customFormat="1" x14ac:dyDescent="0.2">
      <c r="A54" s="35">
        <f t="shared" si="1"/>
        <v>37</v>
      </c>
      <c r="B54" s="36">
        <f t="shared" si="0"/>
        <v>43101</v>
      </c>
      <c r="C54" s="37">
        <f>C53*(1+$D$6)</f>
        <v>1415.0814650000002</v>
      </c>
      <c r="D54" s="38">
        <f t="shared" si="3"/>
        <v>49447.667464999984</v>
      </c>
      <c r="IP54" s="1"/>
      <c r="IQ54" s="1"/>
      <c r="IR54" s="1"/>
      <c r="IS54" s="1"/>
      <c r="IT54" s="1"/>
      <c r="IU54" s="1"/>
      <c r="IV54" s="1"/>
    </row>
    <row r="55" spans="1:256" s="10" customFormat="1" x14ac:dyDescent="0.2">
      <c r="A55" s="35">
        <f t="shared" si="1"/>
        <v>38</v>
      </c>
      <c r="B55" s="36">
        <f t="shared" si="0"/>
        <v>43132</v>
      </c>
      <c r="C55" s="37">
        <f t="shared" ref="C55:C65" si="6">C54</f>
        <v>1415.0814650000002</v>
      </c>
      <c r="D55" s="38">
        <f t="shared" si="3"/>
        <v>50862.748929999987</v>
      </c>
      <c r="IP55" s="1"/>
      <c r="IQ55" s="1"/>
      <c r="IR55" s="1"/>
      <c r="IS55" s="1"/>
      <c r="IT55" s="1"/>
      <c r="IU55" s="1"/>
      <c r="IV55" s="1"/>
    </row>
    <row r="56" spans="1:256" s="10" customFormat="1" x14ac:dyDescent="0.2">
      <c r="A56" s="35">
        <f t="shared" si="1"/>
        <v>39</v>
      </c>
      <c r="B56" s="36">
        <f t="shared" si="0"/>
        <v>43160</v>
      </c>
      <c r="C56" s="37">
        <f t="shared" si="6"/>
        <v>1415.0814650000002</v>
      </c>
      <c r="D56" s="38">
        <f t="shared" si="3"/>
        <v>52277.83039499999</v>
      </c>
      <c r="IP56" s="1"/>
      <c r="IQ56" s="1"/>
      <c r="IR56" s="1"/>
      <c r="IS56" s="1"/>
      <c r="IT56" s="1"/>
      <c r="IU56" s="1"/>
      <c r="IV56" s="1"/>
    </row>
    <row r="57" spans="1:256" s="10" customFormat="1" x14ac:dyDescent="0.2">
      <c r="A57" s="35">
        <f t="shared" si="1"/>
        <v>40</v>
      </c>
      <c r="B57" s="36">
        <f t="shared" si="0"/>
        <v>43191</v>
      </c>
      <c r="C57" s="37">
        <f t="shared" si="6"/>
        <v>1415.0814650000002</v>
      </c>
      <c r="D57" s="38">
        <f t="shared" si="3"/>
        <v>53692.911859999993</v>
      </c>
      <c r="IP57" s="1"/>
      <c r="IQ57" s="1"/>
      <c r="IR57" s="1"/>
      <c r="IS57" s="1"/>
      <c r="IT57" s="1"/>
      <c r="IU57" s="1"/>
      <c r="IV57" s="1"/>
    </row>
    <row r="58" spans="1:256" s="10" customFormat="1" x14ac:dyDescent="0.2">
      <c r="A58" s="35">
        <f t="shared" si="1"/>
        <v>41</v>
      </c>
      <c r="B58" s="36">
        <f t="shared" si="0"/>
        <v>43221</v>
      </c>
      <c r="C58" s="37">
        <f t="shared" si="6"/>
        <v>1415.0814650000002</v>
      </c>
      <c r="D58" s="38">
        <f t="shared" si="3"/>
        <v>55107.993324999996</v>
      </c>
      <c r="IP58" s="1"/>
      <c r="IQ58" s="1"/>
      <c r="IR58" s="1"/>
      <c r="IS58" s="1"/>
      <c r="IT58" s="1"/>
      <c r="IU58" s="1"/>
      <c r="IV58" s="1"/>
    </row>
    <row r="59" spans="1:256" s="10" customFormat="1" x14ac:dyDescent="0.2">
      <c r="A59" s="35">
        <f t="shared" si="1"/>
        <v>42</v>
      </c>
      <c r="B59" s="36">
        <f t="shared" si="0"/>
        <v>43252</v>
      </c>
      <c r="C59" s="37">
        <f t="shared" si="6"/>
        <v>1415.0814650000002</v>
      </c>
      <c r="D59" s="38">
        <f t="shared" si="3"/>
        <v>56523.074789999999</v>
      </c>
      <c r="IP59" s="1"/>
      <c r="IQ59" s="1"/>
      <c r="IR59" s="1"/>
      <c r="IS59" s="1"/>
      <c r="IT59" s="1"/>
      <c r="IU59" s="1"/>
      <c r="IV59" s="1"/>
    </row>
    <row r="60" spans="1:256" s="10" customFormat="1" x14ac:dyDescent="0.2">
      <c r="A60" s="35">
        <f t="shared" si="1"/>
        <v>43</v>
      </c>
      <c r="B60" s="36">
        <f t="shared" si="0"/>
        <v>43282</v>
      </c>
      <c r="C60" s="37">
        <f t="shared" si="6"/>
        <v>1415.0814650000002</v>
      </c>
      <c r="D60" s="38">
        <f t="shared" si="3"/>
        <v>57938.156255000002</v>
      </c>
      <c r="IP60" s="1"/>
      <c r="IQ60" s="1"/>
      <c r="IR60" s="1"/>
      <c r="IS60" s="1"/>
      <c r="IT60" s="1"/>
      <c r="IU60" s="1"/>
      <c r="IV60" s="1"/>
    </row>
    <row r="61" spans="1:256" s="10" customFormat="1" x14ac:dyDescent="0.2">
      <c r="A61" s="35">
        <f t="shared" si="1"/>
        <v>44</v>
      </c>
      <c r="B61" s="36">
        <f t="shared" si="0"/>
        <v>43313</v>
      </c>
      <c r="C61" s="37">
        <f t="shared" si="6"/>
        <v>1415.0814650000002</v>
      </c>
      <c r="D61" s="38">
        <f t="shared" si="3"/>
        <v>59353.237720000005</v>
      </c>
      <c r="IP61" s="1"/>
      <c r="IQ61" s="1"/>
      <c r="IR61" s="1"/>
      <c r="IS61" s="1"/>
      <c r="IT61" s="1"/>
      <c r="IU61" s="1"/>
      <c r="IV61" s="1"/>
    </row>
    <row r="62" spans="1:256" s="10" customFormat="1" x14ac:dyDescent="0.2">
      <c r="A62" s="35">
        <f t="shared" si="1"/>
        <v>45</v>
      </c>
      <c r="B62" s="36">
        <f t="shared" si="0"/>
        <v>43344</v>
      </c>
      <c r="C62" s="37">
        <f t="shared" si="6"/>
        <v>1415.0814650000002</v>
      </c>
      <c r="D62" s="38">
        <f t="shared" si="3"/>
        <v>60768.319185000008</v>
      </c>
      <c r="IP62" s="1"/>
      <c r="IQ62" s="1"/>
      <c r="IR62" s="1"/>
      <c r="IS62" s="1"/>
      <c r="IT62" s="1"/>
      <c r="IU62" s="1"/>
      <c r="IV62" s="1"/>
    </row>
    <row r="63" spans="1:256" s="10" customFormat="1" x14ac:dyDescent="0.2">
      <c r="A63" s="35">
        <f t="shared" si="1"/>
        <v>46</v>
      </c>
      <c r="B63" s="36">
        <f t="shared" si="0"/>
        <v>43374</v>
      </c>
      <c r="C63" s="37">
        <f t="shared" si="6"/>
        <v>1415.0814650000002</v>
      </c>
      <c r="D63" s="38">
        <f t="shared" si="3"/>
        <v>62183.400650000011</v>
      </c>
      <c r="IP63" s="1"/>
      <c r="IQ63" s="1"/>
      <c r="IR63" s="1"/>
      <c r="IS63" s="1"/>
      <c r="IT63" s="1"/>
      <c r="IU63" s="1"/>
      <c r="IV63" s="1"/>
    </row>
    <row r="64" spans="1:256" s="10" customFormat="1" x14ac:dyDescent="0.2">
      <c r="A64" s="35">
        <f t="shared" si="1"/>
        <v>47</v>
      </c>
      <c r="B64" s="36">
        <f t="shared" si="0"/>
        <v>43405</v>
      </c>
      <c r="C64" s="37">
        <f t="shared" si="6"/>
        <v>1415.0814650000002</v>
      </c>
      <c r="D64" s="38">
        <f t="shared" si="3"/>
        <v>63598.482115000013</v>
      </c>
      <c r="IP64" s="1"/>
      <c r="IQ64" s="1"/>
      <c r="IR64" s="1"/>
      <c r="IS64" s="1"/>
      <c r="IT64" s="1"/>
      <c r="IU64" s="1"/>
      <c r="IV64" s="1"/>
    </row>
    <row r="65" spans="1:256" s="10" customFormat="1" x14ac:dyDescent="0.2">
      <c r="A65" s="35">
        <f t="shared" si="1"/>
        <v>48</v>
      </c>
      <c r="B65" s="36">
        <f t="shared" si="0"/>
        <v>43435</v>
      </c>
      <c r="C65" s="37">
        <f t="shared" si="6"/>
        <v>1415.0814650000002</v>
      </c>
      <c r="D65" s="38">
        <f t="shared" si="3"/>
        <v>65013.563580000016</v>
      </c>
      <c r="IP65" s="1"/>
      <c r="IQ65" s="1"/>
      <c r="IR65" s="1"/>
      <c r="IS65" s="1"/>
      <c r="IT65" s="1"/>
      <c r="IU65" s="1"/>
      <c r="IV65" s="1"/>
    </row>
    <row r="66" spans="1:256" s="10" customFormat="1" x14ac:dyDescent="0.2">
      <c r="A66" s="35">
        <f t="shared" si="1"/>
        <v>49</v>
      </c>
      <c r="B66" s="36">
        <f t="shared" si="0"/>
        <v>43466</v>
      </c>
      <c r="C66" s="37">
        <f>C65*(1+$D$6)</f>
        <v>1457.5339089500003</v>
      </c>
      <c r="D66" s="38">
        <f t="shared" si="3"/>
        <v>66471.097488950021</v>
      </c>
      <c r="IP66" s="1"/>
      <c r="IQ66" s="1"/>
      <c r="IR66" s="1"/>
      <c r="IS66" s="1"/>
      <c r="IT66" s="1"/>
      <c r="IU66" s="1"/>
      <c r="IV66" s="1"/>
    </row>
    <row r="67" spans="1:256" s="10" customFormat="1" x14ac:dyDescent="0.2">
      <c r="A67" s="35">
        <f t="shared" si="1"/>
        <v>50</v>
      </c>
      <c r="B67" s="36">
        <f t="shared" si="0"/>
        <v>43497</v>
      </c>
      <c r="C67" s="37">
        <f t="shared" ref="C67:C77" si="7">C66</f>
        <v>1457.5339089500003</v>
      </c>
      <c r="D67" s="38">
        <f t="shared" si="3"/>
        <v>67928.631397900026</v>
      </c>
      <c r="IP67" s="1"/>
      <c r="IQ67" s="1"/>
      <c r="IR67" s="1"/>
      <c r="IS67" s="1"/>
      <c r="IT67" s="1"/>
      <c r="IU67" s="1"/>
      <c r="IV67" s="1"/>
    </row>
    <row r="68" spans="1:256" s="10" customFormat="1" x14ac:dyDescent="0.2">
      <c r="A68" s="35">
        <f t="shared" si="1"/>
        <v>51</v>
      </c>
      <c r="B68" s="36">
        <f t="shared" si="0"/>
        <v>43525</v>
      </c>
      <c r="C68" s="37">
        <f t="shared" si="7"/>
        <v>1457.5339089500003</v>
      </c>
      <c r="D68" s="38">
        <f t="shared" si="3"/>
        <v>69386.165306850031</v>
      </c>
      <c r="IP68" s="1"/>
      <c r="IQ68" s="1"/>
      <c r="IR68" s="1"/>
      <c r="IS68" s="1"/>
      <c r="IT68" s="1"/>
      <c r="IU68" s="1"/>
      <c r="IV68" s="1"/>
    </row>
    <row r="69" spans="1:256" s="10" customFormat="1" x14ac:dyDescent="0.2">
      <c r="A69" s="35">
        <f t="shared" si="1"/>
        <v>52</v>
      </c>
      <c r="B69" s="36">
        <f t="shared" si="0"/>
        <v>43556</v>
      </c>
      <c r="C69" s="37">
        <f t="shared" si="7"/>
        <v>1457.5339089500003</v>
      </c>
      <c r="D69" s="38">
        <f t="shared" si="3"/>
        <v>70843.699215800036</v>
      </c>
      <c r="IP69" s="1"/>
      <c r="IQ69" s="1"/>
      <c r="IR69" s="1"/>
      <c r="IS69" s="1"/>
      <c r="IT69" s="1"/>
      <c r="IU69" s="1"/>
      <c r="IV69" s="1"/>
    </row>
    <row r="70" spans="1:256" s="10" customFormat="1" x14ac:dyDescent="0.2">
      <c r="A70" s="35">
        <f t="shared" si="1"/>
        <v>53</v>
      </c>
      <c r="B70" s="36">
        <f t="shared" si="0"/>
        <v>43586</v>
      </c>
      <c r="C70" s="37">
        <f t="shared" si="7"/>
        <v>1457.5339089500003</v>
      </c>
      <c r="D70" s="38">
        <f t="shared" si="3"/>
        <v>72301.233124750041</v>
      </c>
      <c r="IP70" s="1"/>
      <c r="IQ70" s="1"/>
      <c r="IR70" s="1"/>
      <c r="IS70" s="1"/>
      <c r="IT70" s="1"/>
      <c r="IU70" s="1"/>
      <c r="IV70" s="1"/>
    </row>
    <row r="71" spans="1:256" s="10" customFormat="1" x14ac:dyDescent="0.2">
      <c r="A71" s="35">
        <f t="shared" si="1"/>
        <v>54</v>
      </c>
      <c r="B71" s="36">
        <f t="shared" si="0"/>
        <v>43617</v>
      </c>
      <c r="C71" s="37">
        <f t="shared" si="7"/>
        <v>1457.5339089500003</v>
      </c>
      <c r="D71" s="38">
        <f t="shared" si="3"/>
        <v>73758.767033700045</v>
      </c>
      <c r="IP71" s="1"/>
      <c r="IQ71" s="1"/>
      <c r="IR71" s="1"/>
      <c r="IS71" s="1"/>
      <c r="IT71" s="1"/>
      <c r="IU71" s="1"/>
      <c r="IV71" s="1"/>
    </row>
    <row r="72" spans="1:256" s="10" customFormat="1" x14ac:dyDescent="0.2">
      <c r="A72" s="35">
        <f t="shared" si="1"/>
        <v>55</v>
      </c>
      <c r="B72" s="36">
        <f t="shared" si="0"/>
        <v>43647</v>
      </c>
      <c r="C72" s="37">
        <f t="shared" si="7"/>
        <v>1457.5339089500003</v>
      </c>
      <c r="D72" s="38">
        <f t="shared" si="3"/>
        <v>75216.30094265005</v>
      </c>
      <c r="IP72" s="1"/>
      <c r="IQ72" s="1"/>
      <c r="IR72" s="1"/>
      <c r="IS72" s="1"/>
      <c r="IT72" s="1"/>
      <c r="IU72" s="1"/>
      <c r="IV72" s="1"/>
    </row>
    <row r="73" spans="1:256" s="10" customFormat="1" x14ac:dyDescent="0.2">
      <c r="A73" s="35">
        <f t="shared" si="1"/>
        <v>56</v>
      </c>
      <c r="B73" s="36">
        <f t="shared" si="0"/>
        <v>43678</v>
      </c>
      <c r="C73" s="37">
        <f t="shared" si="7"/>
        <v>1457.5339089500003</v>
      </c>
      <c r="D73" s="38">
        <f t="shared" si="3"/>
        <v>76673.834851600055</v>
      </c>
      <c r="IP73" s="1"/>
      <c r="IQ73" s="1"/>
      <c r="IR73" s="1"/>
      <c r="IS73" s="1"/>
      <c r="IT73" s="1"/>
      <c r="IU73" s="1"/>
      <c r="IV73" s="1"/>
    </row>
    <row r="74" spans="1:256" s="10" customFormat="1" x14ac:dyDescent="0.2">
      <c r="A74" s="35">
        <f t="shared" si="1"/>
        <v>57</v>
      </c>
      <c r="B74" s="36">
        <f t="shared" si="0"/>
        <v>43709</v>
      </c>
      <c r="C74" s="37">
        <f t="shared" si="7"/>
        <v>1457.5339089500003</v>
      </c>
      <c r="D74" s="38">
        <f t="shared" si="3"/>
        <v>78131.36876055006</v>
      </c>
      <c r="IP74" s="1"/>
      <c r="IQ74" s="1"/>
      <c r="IR74" s="1"/>
      <c r="IS74" s="1"/>
      <c r="IT74" s="1"/>
      <c r="IU74" s="1"/>
      <c r="IV74" s="1"/>
    </row>
    <row r="75" spans="1:256" s="10" customFormat="1" x14ac:dyDescent="0.2">
      <c r="A75" s="35">
        <f t="shared" si="1"/>
        <v>58</v>
      </c>
      <c r="B75" s="36">
        <f t="shared" si="0"/>
        <v>43739</v>
      </c>
      <c r="C75" s="37">
        <f t="shared" si="7"/>
        <v>1457.5339089500003</v>
      </c>
      <c r="D75" s="38">
        <f t="shared" si="3"/>
        <v>79588.902669500065</v>
      </c>
      <c r="IP75" s="1"/>
      <c r="IQ75" s="1"/>
      <c r="IR75" s="1"/>
      <c r="IS75" s="1"/>
      <c r="IT75" s="1"/>
      <c r="IU75" s="1"/>
      <c r="IV75" s="1"/>
    </row>
    <row r="76" spans="1:256" s="10" customFormat="1" x14ac:dyDescent="0.2">
      <c r="A76" s="35">
        <f t="shared" si="1"/>
        <v>59</v>
      </c>
      <c r="B76" s="36">
        <f t="shared" si="0"/>
        <v>43770</v>
      </c>
      <c r="C76" s="37">
        <f t="shared" si="7"/>
        <v>1457.5339089500003</v>
      </c>
      <c r="D76" s="38">
        <f t="shared" si="3"/>
        <v>81046.43657845007</v>
      </c>
      <c r="IP76" s="1"/>
      <c r="IQ76" s="1"/>
      <c r="IR76" s="1"/>
      <c r="IS76" s="1"/>
      <c r="IT76" s="1"/>
      <c r="IU76" s="1"/>
      <c r="IV76" s="1"/>
    </row>
    <row r="77" spans="1:256" s="10" customFormat="1" x14ac:dyDescent="0.2">
      <c r="A77" s="35">
        <f t="shared" si="1"/>
        <v>60</v>
      </c>
      <c r="B77" s="36">
        <f t="shared" si="0"/>
        <v>43800</v>
      </c>
      <c r="C77" s="37">
        <f t="shared" si="7"/>
        <v>1457.5339089500003</v>
      </c>
      <c r="D77" s="38">
        <f t="shared" si="3"/>
        <v>82503.970487400074</v>
      </c>
      <c r="IP77" s="1"/>
      <c r="IQ77" s="1"/>
      <c r="IR77" s="1"/>
      <c r="IS77" s="1"/>
      <c r="IT77" s="1"/>
      <c r="IU77" s="1"/>
      <c r="IV77" s="1"/>
    </row>
    <row r="78" spans="1:256" s="10" customFormat="1" x14ac:dyDescent="0.2">
      <c r="A78" s="35">
        <f t="shared" si="1"/>
        <v>61</v>
      </c>
      <c r="B78" s="36">
        <f t="shared" si="0"/>
        <v>43831</v>
      </c>
      <c r="C78" s="37">
        <f>C77*(1+$D$6)</f>
        <v>1501.2599262185004</v>
      </c>
      <c r="D78" s="38">
        <f t="shared" si="3"/>
        <v>84005.23041361857</v>
      </c>
      <c r="IP78" s="1"/>
      <c r="IQ78" s="1"/>
      <c r="IR78" s="1"/>
      <c r="IS78" s="1"/>
      <c r="IT78" s="1"/>
      <c r="IU78" s="1"/>
      <c r="IV78" s="1"/>
    </row>
    <row r="79" spans="1:256" s="10" customFormat="1" x14ac:dyDescent="0.2">
      <c r="A79" s="35">
        <f t="shared" si="1"/>
        <v>62</v>
      </c>
      <c r="B79" s="36">
        <f t="shared" si="0"/>
        <v>43862</v>
      </c>
      <c r="C79" s="37">
        <f t="shared" ref="C79:C89" si="8">C78</f>
        <v>1501.2599262185004</v>
      </c>
      <c r="D79" s="38">
        <f t="shared" si="3"/>
        <v>85506.490339837066</v>
      </c>
      <c r="IP79" s="1"/>
      <c r="IQ79" s="1"/>
      <c r="IR79" s="1"/>
      <c r="IS79" s="1"/>
      <c r="IT79" s="1"/>
      <c r="IU79" s="1"/>
      <c r="IV79" s="1"/>
    </row>
    <row r="80" spans="1:256" s="10" customFormat="1" x14ac:dyDescent="0.2">
      <c r="A80" s="35">
        <f t="shared" si="1"/>
        <v>63</v>
      </c>
      <c r="B80" s="36">
        <f t="shared" si="0"/>
        <v>43891</v>
      </c>
      <c r="C80" s="37">
        <f t="shared" si="8"/>
        <v>1501.2599262185004</v>
      </c>
      <c r="D80" s="38">
        <f t="shared" si="3"/>
        <v>87007.750266055562</v>
      </c>
      <c r="IP80" s="1"/>
      <c r="IQ80" s="1"/>
      <c r="IR80" s="1"/>
      <c r="IS80" s="1"/>
      <c r="IT80" s="1"/>
      <c r="IU80" s="1"/>
      <c r="IV80" s="1"/>
    </row>
    <row r="81" spans="1:256" s="10" customFormat="1" x14ac:dyDescent="0.2">
      <c r="A81" s="35">
        <f t="shared" si="1"/>
        <v>64</v>
      </c>
      <c r="B81" s="36">
        <f t="shared" si="0"/>
        <v>43922</v>
      </c>
      <c r="C81" s="37">
        <f t="shared" si="8"/>
        <v>1501.2599262185004</v>
      </c>
      <c r="D81" s="38">
        <f t="shared" si="3"/>
        <v>88509.010192274058</v>
      </c>
      <c r="IP81" s="1"/>
      <c r="IQ81" s="1"/>
      <c r="IR81" s="1"/>
      <c r="IS81" s="1"/>
      <c r="IT81" s="1"/>
      <c r="IU81" s="1"/>
      <c r="IV81" s="1"/>
    </row>
    <row r="82" spans="1:256" s="10" customFormat="1" x14ac:dyDescent="0.2">
      <c r="A82" s="35">
        <f t="shared" si="1"/>
        <v>65</v>
      </c>
      <c r="B82" s="36">
        <f t="shared" ref="B82:B145" si="9">IF(Pay_Num&lt;&gt;"",DATE(YEAR(Loan_Start),MONTH(Loan_Start)+(Pay_Num)*12/Num_Pmt_Per_Year,DAY(Loan_Start)),"")</f>
        <v>43952</v>
      </c>
      <c r="C82" s="37">
        <f t="shared" si="8"/>
        <v>1501.2599262185004</v>
      </c>
      <c r="D82" s="38">
        <f t="shared" si="3"/>
        <v>90010.270118492554</v>
      </c>
      <c r="IP82" s="1"/>
      <c r="IQ82" s="1"/>
      <c r="IR82" s="1"/>
      <c r="IS82" s="1"/>
      <c r="IT82" s="1"/>
      <c r="IU82" s="1"/>
      <c r="IV82" s="1"/>
    </row>
    <row r="83" spans="1:256" s="10" customFormat="1" x14ac:dyDescent="0.2">
      <c r="A83" s="35">
        <f t="shared" ref="A83:A146" si="10">IF(Values_Entered,A82+1,"")</f>
        <v>66</v>
      </c>
      <c r="B83" s="36">
        <f t="shared" si="9"/>
        <v>43983</v>
      </c>
      <c r="C83" s="37">
        <f t="shared" si="8"/>
        <v>1501.2599262185004</v>
      </c>
      <c r="D83" s="38">
        <f t="shared" ref="D83:D146" si="11">D82+C83</f>
        <v>91511.530044711049</v>
      </c>
      <c r="IP83" s="1"/>
      <c r="IQ83" s="1"/>
      <c r="IR83" s="1"/>
      <c r="IS83" s="1"/>
      <c r="IT83" s="1"/>
      <c r="IU83" s="1"/>
      <c r="IV83" s="1"/>
    </row>
    <row r="84" spans="1:256" s="10" customFormat="1" x14ac:dyDescent="0.2">
      <c r="A84" s="35">
        <f t="shared" si="10"/>
        <v>67</v>
      </c>
      <c r="B84" s="36">
        <f t="shared" si="9"/>
        <v>44013</v>
      </c>
      <c r="C84" s="37">
        <f t="shared" si="8"/>
        <v>1501.2599262185004</v>
      </c>
      <c r="D84" s="38">
        <f t="shared" si="11"/>
        <v>93012.789970929545</v>
      </c>
      <c r="IP84" s="1"/>
      <c r="IQ84" s="1"/>
      <c r="IR84" s="1"/>
      <c r="IS84" s="1"/>
      <c r="IT84" s="1"/>
      <c r="IU84" s="1"/>
      <c r="IV84" s="1"/>
    </row>
    <row r="85" spans="1:256" s="10" customFormat="1" x14ac:dyDescent="0.2">
      <c r="A85" s="35">
        <f t="shared" si="10"/>
        <v>68</v>
      </c>
      <c r="B85" s="36">
        <f t="shared" si="9"/>
        <v>44044</v>
      </c>
      <c r="C85" s="37">
        <f t="shared" si="8"/>
        <v>1501.2599262185004</v>
      </c>
      <c r="D85" s="38">
        <f t="shared" si="11"/>
        <v>94514.049897148041</v>
      </c>
      <c r="IP85" s="1"/>
      <c r="IQ85" s="1"/>
      <c r="IR85" s="1"/>
      <c r="IS85" s="1"/>
      <c r="IT85" s="1"/>
      <c r="IU85" s="1"/>
      <c r="IV85" s="1"/>
    </row>
    <row r="86" spans="1:256" s="10" customFormat="1" x14ac:dyDescent="0.2">
      <c r="A86" s="35">
        <f t="shared" si="10"/>
        <v>69</v>
      </c>
      <c r="B86" s="36">
        <f t="shared" si="9"/>
        <v>44075</v>
      </c>
      <c r="C86" s="37">
        <f t="shared" si="8"/>
        <v>1501.2599262185004</v>
      </c>
      <c r="D86" s="38">
        <f t="shared" si="11"/>
        <v>96015.309823366537</v>
      </c>
      <c r="IP86" s="1"/>
      <c r="IQ86" s="1"/>
      <c r="IR86" s="1"/>
      <c r="IS86" s="1"/>
      <c r="IT86" s="1"/>
      <c r="IU86" s="1"/>
      <c r="IV86" s="1"/>
    </row>
    <row r="87" spans="1:256" s="10" customFormat="1" x14ac:dyDescent="0.2">
      <c r="A87" s="35">
        <f t="shared" si="10"/>
        <v>70</v>
      </c>
      <c r="B87" s="36">
        <f t="shared" si="9"/>
        <v>44105</v>
      </c>
      <c r="C87" s="37">
        <f t="shared" si="8"/>
        <v>1501.2599262185004</v>
      </c>
      <c r="D87" s="38">
        <f t="shared" si="11"/>
        <v>97516.569749585033</v>
      </c>
      <c r="IP87" s="1"/>
      <c r="IQ87" s="1"/>
      <c r="IR87" s="1"/>
      <c r="IS87" s="1"/>
      <c r="IT87" s="1"/>
      <c r="IU87" s="1"/>
      <c r="IV87" s="1"/>
    </row>
    <row r="88" spans="1:256" s="10" customFormat="1" x14ac:dyDescent="0.2">
      <c r="A88" s="35">
        <f t="shared" si="10"/>
        <v>71</v>
      </c>
      <c r="B88" s="36">
        <f t="shared" si="9"/>
        <v>44136</v>
      </c>
      <c r="C88" s="37">
        <f t="shared" si="8"/>
        <v>1501.2599262185004</v>
      </c>
      <c r="D88" s="38">
        <f t="shared" si="11"/>
        <v>99017.829675803529</v>
      </c>
      <c r="IP88" s="1"/>
      <c r="IQ88" s="1"/>
      <c r="IR88" s="1"/>
      <c r="IS88" s="1"/>
      <c r="IT88" s="1"/>
      <c r="IU88" s="1"/>
      <c r="IV88" s="1"/>
    </row>
    <row r="89" spans="1:256" s="10" customFormat="1" x14ac:dyDescent="0.2">
      <c r="A89" s="35">
        <f t="shared" si="10"/>
        <v>72</v>
      </c>
      <c r="B89" s="36">
        <f t="shared" si="9"/>
        <v>44166</v>
      </c>
      <c r="C89" s="37">
        <f t="shared" si="8"/>
        <v>1501.2599262185004</v>
      </c>
      <c r="D89" s="38">
        <f t="shared" si="11"/>
        <v>100519.08960202202</v>
      </c>
      <c r="IP89" s="1"/>
      <c r="IQ89" s="1"/>
      <c r="IR89" s="1"/>
      <c r="IS89" s="1"/>
      <c r="IT89" s="1"/>
      <c r="IU89" s="1"/>
      <c r="IV89" s="1"/>
    </row>
    <row r="90" spans="1:256" s="10" customFormat="1" x14ac:dyDescent="0.2">
      <c r="A90" s="35">
        <f t="shared" si="10"/>
        <v>73</v>
      </c>
      <c r="B90" s="36">
        <f t="shared" si="9"/>
        <v>44197</v>
      </c>
      <c r="C90" s="37">
        <f>C89*(1+$D$6)</f>
        <v>1546.2977240050554</v>
      </c>
      <c r="D90" s="38">
        <f t="shared" si="11"/>
        <v>102065.38732602708</v>
      </c>
      <c r="IP90" s="1"/>
      <c r="IQ90" s="1"/>
      <c r="IR90" s="1"/>
      <c r="IS90" s="1"/>
      <c r="IT90" s="1"/>
      <c r="IU90" s="1"/>
      <c r="IV90" s="1"/>
    </row>
    <row r="91" spans="1:256" s="10" customFormat="1" x14ac:dyDescent="0.2">
      <c r="A91" s="35">
        <f t="shared" si="10"/>
        <v>74</v>
      </c>
      <c r="B91" s="36">
        <f t="shared" si="9"/>
        <v>44228</v>
      </c>
      <c r="C91" s="37">
        <f t="shared" ref="C91:C101" si="12">C90</f>
        <v>1546.2977240050554</v>
      </c>
      <c r="D91" s="38">
        <f t="shared" si="11"/>
        <v>103611.68505003213</v>
      </c>
      <c r="IP91" s="1"/>
      <c r="IQ91" s="1"/>
      <c r="IR91" s="1"/>
      <c r="IS91" s="1"/>
      <c r="IT91" s="1"/>
      <c r="IU91" s="1"/>
      <c r="IV91" s="1"/>
    </row>
    <row r="92" spans="1:256" s="10" customFormat="1" x14ac:dyDescent="0.2">
      <c r="A92" s="35">
        <f t="shared" si="10"/>
        <v>75</v>
      </c>
      <c r="B92" s="36">
        <f t="shared" si="9"/>
        <v>44256</v>
      </c>
      <c r="C92" s="37">
        <f t="shared" si="12"/>
        <v>1546.2977240050554</v>
      </c>
      <c r="D92" s="38">
        <f t="shared" si="11"/>
        <v>105157.98277403718</v>
      </c>
      <c r="IP92" s="1"/>
      <c r="IQ92" s="1"/>
      <c r="IR92" s="1"/>
      <c r="IS92" s="1"/>
      <c r="IT92" s="1"/>
      <c r="IU92" s="1"/>
      <c r="IV92" s="1"/>
    </row>
    <row r="93" spans="1:256" s="10" customFormat="1" x14ac:dyDescent="0.2">
      <c r="A93" s="35">
        <f t="shared" si="10"/>
        <v>76</v>
      </c>
      <c r="B93" s="36">
        <f t="shared" si="9"/>
        <v>44287</v>
      </c>
      <c r="C93" s="37">
        <f t="shared" si="12"/>
        <v>1546.2977240050554</v>
      </c>
      <c r="D93" s="38">
        <f t="shared" si="11"/>
        <v>106704.28049804224</v>
      </c>
      <c r="IP93" s="1"/>
      <c r="IQ93" s="1"/>
      <c r="IR93" s="1"/>
      <c r="IS93" s="1"/>
      <c r="IT93" s="1"/>
      <c r="IU93" s="1"/>
      <c r="IV93" s="1"/>
    </row>
    <row r="94" spans="1:256" s="10" customFormat="1" x14ac:dyDescent="0.2">
      <c r="A94" s="35">
        <f t="shared" si="10"/>
        <v>77</v>
      </c>
      <c r="B94" s="36">
        <f t="shared" si="9"/>
        <v>44317</v>
      </c>
      <c r="C94" s="37">
        <f t="shared" si="12"/>
        <v>1546.2977240050554</v>
      </c>
      <c r="D94" s="38">
        <f t="shared" si="11"/>
        <v>108250.57822204729</v>
      </c>
      <c r="IP94" s="1"/>
      <c r="IQ94" s="1"/>
      <c r="IR94" s="1"/>
      <c r="IS94" s="1"/>
      <c r="IT94" s="1"/>
      <c r="IU94" s="1"/>
      <c r="IV94" s="1"/>
    </row>
    <row r="95" spans="1:256" s="10" customFormat="1" x14ac:dyDescent="0.2">
      <c r="A95" s="35">
        <f t="shared" si="10"/>
        <v>78</v>
      </c>
      <c r="B95" s="36">
        <f t="shared" si="9"/>
        <v>44348</v>
      </c>
      <c r="C95" s="37">
        <f t="shared" si="12"/>
        <v>1546.2977240050554</v>
      </c>
      <c r="D95" s="38">
        <f t="shared" si="11"/>
        <v>109796.87594605234</v>
      </c>
      <c r="IP95" s="1"/>
      <c r="IQ95" s="1"/>
      <c r="IR95" s="1"/>
      <c r="IS95" s="1"/>
      <c r="IT95" s="1"/>
      <c r="IU95" s="1"/>
      <c r="IV95" s="1"/>
    </row>
    <row r="96" spans="1:256" s="10" customFormat="1" x14ac:dyDescent="0.2">
      <c r="A96" s="35">
        <f t="shared" si="10"/>
        <v>79</v>
      </c>
      <c r="B96" s="36">
        <f t="shared" si="9"/>
        <v>44378</v>
      </c>
      <c r="C96" s="37">
        <f t="shared" si="12"/>
        <v>1546.2977240050554</v>
      </c>
      <c r="D96" s="38">
        <f t="shared" si="11"/>
        <v>111343.1736700574</v>
      </c>
      <c r="IP96" s="1"/>
      <c r="IQ96" s="1"/>
      <c r="IR96" s="1"/>
      <c r="IS96" s="1"/>
      <c r="IT96" s="1"/>
      <c r="IU96" s="1"/>
      <c r="IV96" s="1"/>
    </row>
    <row r="97" spans="1:256" s="10" customFormat="1" x14ac:dyDescent="0.2">
      <c r="A97" s="35">
        <f t="shared" si="10"/>
        <v>80</v>
      </c>
      <c r="B97" s="36">
        <f t="shared" si="9"/>
        <v>44409</v>
      </c>
      <c r="C97" s="37">
        <f t="shared" si="12"/>
        <v>1546.2977240050554</v>
      </c>
      <c r="D97" s="38">
        <f t="shared" si="11"/>
        <v>112889.47139406245</v>
      </c>
      <c r="IP97" s="1"/>
      <c r="IQ97" s="1"/>
      <c r="IR97" s="1"/>
      <c r="IS97" s="1"/>
      <c r="IT97" s="1"/>
      <c r="IU97" s="1"/>
      <c r="IV97" s="1"/>
    </row>
    <row r="98" spans="1:256" s="10" customFormat="1" x14ac:dyDescent="0.2">
      <c r="A98" s="35">
        <f t="shared" si="10"/>
        <v>81</v>
      </c>
      <c r="B98" s="36">
        <f t="shared" si="9"/>
        <v>44440</v>
      </c>
      <c r="C98" s="37">
        <f t="shared" si="12"/>
        <v>1546.2977240050554</v>
      </c>
      <c r="D98" s="38">
        <f t="shared" si="11"/>
        <v>114435.7691180675</v>
      </c>
      <c r="IP98" s="1"/>
      <c r="IQ98" s="1"/>
      <c r="IR98" s="1"/>
      <c r="IS98" s="1"/>
      <c r="IT98" s="1"/>
      <c r="IU98" s="1"/>
      <c r="IV98" s="1"/>
    </row>
    <row r="99" spans="1:256" s="10" customFormat="1" x14ac:dyDescent="0.2">
      <c r="A99" s="35">
        <f t="shared" si="10"/>
        <v>82</v>
      </c>
      <c r="B99" s="36">
        <f t="shared" si="9"/>
        <v>44470</v>
      </c>
      <c r="C99" s="37">
        <f t="shared" si="12"/>
        <v>1546.2977240050554</v>
      </c>
      <c r="D99" s="38">
        <f t="shared" si="11"/>
        <v>115982.06684207256</v>
      </c>
      <c r="IP99" s="1"/>
      <c r="IQ99" s="1"/>
      <c r="IR99" s="1"/>
      <c r="IS99" s="1"/>
      <c r="IT99" s="1"/>
      <c r="IU99" s="1"/>
      <c r="IV99" s="1"/>
    </row>
    <row r="100" spans="1:256" s="10" customFormat="1" x14ac:dyDescent="0.2">
      <c r="A100" s="35">
        <f t="shared" si="10"/>
        <v>83</v>
      </c>
      <c r="B100" s="36">
        <f t="shared" si="9"/>
        <v>44501</v>
      </c>
      <c r="C100" s="37">
        <f t="shared" si="12"/>
        <v>1546.2977240050554</v>
      </c>
      <c r="D100" s="38">
        <f t="shared" si="11"/>
        <v>117528.36456607761</v>
      </c>
      <c r="IP100" s="1"/>
      <c r="IQ100" s="1"/>
      <c r="IR100" s="1"/>
      <c r="IS100" s="1"/>
      <c r="IT100" s="1"/>
      <c r="IU100" s="1"/>
      <c r="IV100" s="1"/>
    </row>
    <row r="101" spans="1:256" s="10" customFormat="1" x14ac:dyDescent="0.2">
      <c r="A101" s="35">
        <f t="shared" si="10"/>
        <v>84</v>
      </c>
      <c r="B101" s="36">
        <f t="shared" si="9"/>
        <v>44531</v>
      </c>
      <c r="C101" s="37">
        <f t="shared" si="12"/>
        <v>1546.2977240050554</v>
      </c>
      <c r="D101" s="38">
        <f t="shared" si="11"/>
        <v>119074.66229008266</v>
      </c>
      <c r="IP101" s="1"/>
      <c r="IQ101" s="1"/>
      <c r="IR101" s="1"/>
      <c r="IS101" s="1"/>
      <c r="IT101" s="1"/>
      <c r="IU101" s="1"/>
      <c r="IV101" s="1"/>
    </row>
    <row r="102" spans="1:256" s="10" customFormat="1" x14ac:dyDescent="0.2">
      <c r="A102" s="35">
        <f t="shared" si="10"/>
        <v>85</v>
      </c>
      <c r="B102" s="36">
        <f t="shared" si="9"/>
        <v>44562</v>
      </c>
      <c r="C102" s="37">
        <f>C101*(1+$D$6)</f>
        <v>1592.6866557252072</v>
      </c>
      <c r="D102" s="38">
        <f t="shared" si="11"/>
        <v>120667.34894580787</v>
      </c>
      <c r="IP102" s="1"/>
      <c r="IQ102" s="1"/>
      <c r="IR102" s="1"/>
      <c r="IS102" s="1"/>
      <c r="IT102" s="1"/>
      <c r="IU102" s="1"/>
      <c r="IV102" s="1"/>
    </row>
    <row r="103" spans="1:256" s="10" customFormat="1" x14ac:dyDescent="0.2">
      <c r="A103" s="35">
        <f t="shared" si="10"/>
        <v>86</v>
      </c>
      <c r="B103" s="36">
        <f t="shared" si="9"/>
        <v>44593</v>
      </c>
      <c r="C103" s="37">
        <f t="shared" ref="C103:C113" si="13">C102</f>
        <v>1592.6866557252072</v>
      </c>
      <c r="D103" s="38">
        <f t="shared" si="11"/>
        <v>122260.03560153308</v>
      </c>
      <c r="IP103" s="1"/>
      <c r="IQ103" s="1"/>
      <c r="IR103" s="1"/>
      <c r="IS103" s="1"/>
      <c r="IT103" s="1"/>
      <c r="IU103" s="1"/>
      <c r="IV103" s="1"/>
    </row>
    <row r="104" spans="1:256" s="10" customFormat="1" x14ac:dyDescent="0.2">
      <c r="A104" s="35">
        <f t="shared" si="10"/>
        <v>87</v>
      </c>
      <c r="B104" s="36">
        <f t="shared" si="9"/>
        <v>44621</v>
      </c>
      <c r="C104" s="37">
        <f t="shared" si="13"/>
        <v>1592.6866557252072</v>
      </c>
      <c r="D104" s="38">
        <f t="shared" si="11"/>
        <v>123852.72225725828</v>
      </c>
      <c r="IP104" s="1"/>
      <c r="IQ104" s="1"/>
      <c r="IR104" s="1"/>
      <c r="IS104" s="1"/>
      <c r="IT104" s="1"/>
      <c r="IU104" s="1"/>
      <c r="IV104" s="1"/>
    </row>
    <row r="105" spans="1:256" s="10" customFormat="1" x14ac:dyDescent="0.2">
      <c r="A105" s="35">
        <f t="shared" si="10"/>
        <v>88</v>
      </c>
      <c r="B105" s="36">
        <f t="shared" si="9"/>
        <v>44652</v>
      </c>
      <c r="C105" s="37">
        <f t="shared" si="13"/>
        <v>1592.6866557252072</v>
      </c>
      <c r="D105" s="38">
        <f t="shared" si="11"/>
        <v>125445.40891298349</v>
      </c>
      <c r="IP105" s="1"/>
      <c r="IQ105" s="1"/>
      <c r="IR105" s="1"/>
      <c r="IS105" s="1"/>
      <c r="IT105" s="1"/>
      <c r="IU105" s="1"/>
      <c r="IV105" s="1"/>
    </row>
    <row r="106" spans="1:256" s="10" customFormat="1" x14ac:dyDescent="0.2">
      <c r="A106" s="35">
        <f t="shared" si="10"/>
        <v>89</v>
      </c>
      <c r="B106" s="36">
        <f t="shared" si="9"/>
        <v>44682</v>
      </c>
      <c r="C106" s="37">
        <f t="shared" si="13"/>
        <v>1592.6866557252072</v>
      </c>
      <c r="D106" s="38">
        <f t="shared" si="11"/>
        <v>127038.0955687087</v>
      </c>
      <c r="IP106" s="1"/>
      <c r="IQ106" s="1"/>
      <c r="IR106" s="1"/>
      <c r="IS106" s="1"/>
      <c r="IT106" s="1"/>
      <c r="IU106" s="1"/>
      <c r="IV106" s="1"/>
    </row>
    <row r="107" spans="1:256" s="10" customFormat="1" x14ac:dyDescent="0.2">
      <c r="A107" s="35">
        <f t="shared" si="10"/>
        <v>90</v>
      </c>
      <c r="B107" s="36">
        <f t="shared" si="9"/>
        <v>44713</v>
      </c>
      <c r="C107" s="37">
        <f t="shared" si="13"/>
        <v>1592.6866557252072</v>
      </c>
      <c r="D107" s="38">
        <f t="shared" si="11"/>
        <v>128630.7822244339</v>
      </c>
      <c r="IP107" s="1"/>
      <c r="IQ107" s="1"/>
      <c r="IR107" s="1"/>
      <c r="IS107" s="1"/>
      <c r="IT107" s="1"/>
      <c r="IU107" s="1"/>
      <c r="IV107" s="1"/>
    </row>
    <row r="108" spans="1:256" s="10" customFormat="1" x14ac:dyDescent="0.2">
      <c r="A108" s="35">
        <f t="shared" si="10"/>
        <v>91</v>
      </c>
      <c r="B108" s="36">
        <f t="shared" si="9"/>
        <v>44743</v>
      </c>
      <c r="C108" s="37">
        <f t="shared" si="13"/>
        <v>1592.6866557252072</v>
      </c>
      <c r="D108" s="38">
        <f t="shared" si="11"/>
        <v>130223.46888015911</v>
      </c>
      <c r="IP108" s="1"/>
      <c r="IQ108" s="1"/>
      <c r="IR108" s="1"/>
      <c r="IS108" s="1"/>
      <c r="IT108" s="1"/>
      <c r="IU108" s="1"/>
      <c r="IV108" s="1"/>
    </row>
    <row r="109" spans="1:256" s="10" customFormat="1" x14ac:dyDescent="0.2">
      <c r="A109" s="35">
        <f t="shared" si="10"/>
        <v>92</v>
      </c>
      <c r="B109" s="36">
        <f t="shared" si="9"/>
        <v>44774</v>
      </c>
      <c r="C109" s="37">
        <f t="shared" si="13"/>
        <v>1592.6866557252072</v>
      </c>
      <c r="D109" s="38">
        <f t="shared" si="11"/>
        <v>131816.15553588432</v>
      </c>
      <c r="IP109" s="1"/>
      <c r="IQ109" s="1"/>
      <c r="IR109" s="1"/>
      <c r="IS109" s="1"/>
      <c r="IT109" s="1"/>
      <c r="IU109" s="1"/>
      <c r="IV109" s="1"/>
    </row>
    <row r="110" spans="1:256" s="10" customFormat="1" x14ac:dyDescent="0.2">
      <c r="A110" s="35">
        <f t="shared" si="10"/>
        <v>93</v>
      </c>
      <c r="B110" s="36">
        <f t="shared" si="9"/>
        <v>44805</v>
      </c>
      <c r="C110" s="37">
        <f t="shared" si="13"/>
        <v>1592.6866557252072</v>
      </c>
      <c r="D110" s="38">
        <f t="shared" si="11"/>
        <v>133408.84219160952</v>
      </c>
      <c r="IP110" s="1"/>
      <c r="IQ110" s="1"/>
      <c r="IR110" s="1"/>
      <c r="IS110" s="1"/>
      <c r="IT110" s="1"/>
      <c r="IU110" s="1"/>
      <c r="IV110" s="1"/>
    </row>
    <row r="111" spans="1:256" s="10" customFormat="1" x14ac:dyDescent="0.2">
      <c r="A111" s="35">
        <f t="shared" si="10"/>
        <v>94</v>
      </c>
      <c r="B111" s="36">
        <f t="shared" si="9"/>
        <v>44835</v>
      </c>
      <c r="C111" s="37">
        <f t="shared" si="13"/>
        <v>1592.6866557252072</v>
      </c>
      <c r="D111" s="38">
        <f t="shared" si="11"/>
        <v>135001.52884733473</v>
      </c>
      <c r="IP111" s="1"/>
      <c r="IQ111" s="1"/>
      <c r="IR111" s="1"/>
      <c r="IS111" s="1"/>
      <c r="IT111" s="1"/>
      <c r="IU111" s="1"/>
      <c r="IV111" s="1"/>
    </row>
    <row r="112" spans="1:256" s="10" customFormat="1" x14ac:dyDescent="0.2">
      <c r="A112" s="35">
        <f t="shared" si="10"/>
        <v>95</v>
      </c>
      <c r="B112" s="36">
        <f t="shared" si="9"/>
        <v>44866</v>
      </c>
      <c r="C112" s="37">
        <f t="shared" si="13"/>
        <v>1592.6866557252072</v>
      </c>
      <c r="D112" s="38">
        <f t="shared" si="11"/>
        <v>136594.21550305994</v>
      </c>
      <c r="IP112" s="1"/>
      <c r="IQ112" s="1"/>
      <c r="IR112" s="1"/>
      <c r="IS112" s="1"/>
      <c r="IT112" s="1"/>
      <c r="IU112" s="1"/>
      <c r="IV112" s="1"/>
    </row>
    <row r="113" spans="1:256" s="10" customFormat="1" x14ac:dyDescent="0.2">
      <c r="A113" s="35">
        <f t="shared" si="10"/>
        <v>96</v>
      </c>
      <c r="B113" s="36">
        <f t="shared" si="9"/>
        <v>44896</v>
      </c>
      <c r="C113" s="37">
        <f t="shared" si="13"/>
        <v>1592.6866557252072</v>
      </c>
      <c r="D113" s="38">
        <f t="shared" si="11"/>
        <v>138186.90215878515</v>
      </c>
      <c r="IP113" s="1"/>
      <c r="IQ113" s="1"/>
      <c r="IR113" s="1"/>
      <c r="IS113" s="1"/>
      <c r="IT113" s="1"/>
      <c r="IU113" s="1"/>
      <c r="IV113" s="1"/>
    </row>
    <row r="114" spans="1:256" s="10" customFormat="1" x14ac:dyDescent="0.2">
      <c r="A114" s="35">
        <f t="shared" si="10"/>
        <v>97</v>
      </c>
      <c r="B114" s="36">
        <f t="shared" si="9"/>
        <v>44927</v>
      </c>
      <c r="C114" s="37">
        <f>C113*(1+$D$6)</f>
        <v>1640.4672553969635</v>
      </c>
      <c r="D114" s="38">
        <f t="shared" si="11"/>
        <v>139827.36941418212</v>
      </c>
      <c r="IP114" s="1"/>
      <c r="IQ114" s="1"/>
      <c r="IR114" s="1"/>
      <c r="IS114" s="1"/>
      <c r="IT114" s="1"/>
      <c r="IU114" s="1"/>
      <c r="IV114" s="1"/>
    </row>
    <row r="115" spans="1:256" s="10" customFormat="1" x14ac:dyDescent="0.2">
      <c r="A115" s="35">
        <f t="shared" si="10"/>
        <v>98</v>
      </c>
      <c r="B115" s="36">
        <f t="shared" si="9"/>
        <v>44958</v>
      </c>
      <c r="C115" s="37">
        <f t="shared" ref="C115:C125" si="14">C114</f>
        <v>1640.4672553969635</v>
      </c>
      <c r="D115" s="38">
        <f t="shared" si="11"/>
        <v>141467.83666957909</v>
      </c>
      <c r="IP115" s="1"/>
      <c r="IQ115" s="1"/>
      <c r="IR115" s="1"/>
      <c r="IS115" s="1"/>
      <c r="IT115" s="1"/>
      <c r="IU115" s="1"/>
      <c r="IV115" s="1"/>
    </row>
    <row r="116" spans="1:256" s="10" customFormat="1" x14ac:dyDescent="0.2">
      <c r="A116" s="35">
        <f t="shared" si="10"/>
        <v>99</v>
      </c>
      <c r="B116" s="36">
        <f t="shared" si="9"/>
        <v>44986</v>
      </c>
      <c r="C116" s="37">
        <f t="shared" si="14"/>
        <v>1640.4672553969635</v>
      </c>
      <c r="D116" s="38">
        <f t="shared" si="11"/>
        <v>143108.30392497606</v>
      </c>
      <c r="IP116" s="1"/>
      <c r="IQ116" s="1"/>
      <c r="IR116" s="1"/>
      <c r="IS116" s="1"/>
      <c r="IT116" s="1"/>
      <c r="IU116" s="1"/>
      <c r="IV116" s="1"/>
    </row>
    <row r="117" spans="1:256" s="10" customFormat="1" x14ac:dyDescent="0.2">
      <c r="A117" s="35">
        <f t="shared" si="10"/>
        <v>100</v>
      </c>
      <c r="B117" s="36">
        <f t="shared" si="9"/>
        <v>45017</v>
      </c>
      <c r="C117" s="37">
        <f t="shared" si="14"/>
        <v>1640.4672553969635</v>
      </c>
      <c r="D117" s="38">
        <f t="shared" si="11"/>
        <v>144748.77118037303</v>
      </c>
      <c r="IP117" s="1"/>
      <c r="IQ117" s="1"/>
      <c r="IR117" s="1"/>
      <c r="IS117" s="1"/>
      <c r="IT117" s="1"/>
      <c r="IU117" s="1"/>
      <c r="IV117" s="1"/>
    </row>
    <row r="118" spans="1:256" s="10" customFormat="1" x14ac:dyDescent="0.2">
      <c r="A118" s="35">
        <f t="shared" si="10"/>
        <v>101</v>
      </c>
      <c r="B118" s="36">
        <f t="shared" si="9"/>
        <v>45047</v>
      </c>
      <c r="C118" s="37">
        <f t="shared" si="14"/>
        <v>1640.4672553969635</v>
      </c>
      <c r="D118" s="38">
        <f t="shared" si="11"/>
        <v>146389.23843577001</v>
      </c>
      <c r="IP118" s="1"/>
      <c r="IQ118" s="1"/>
      <c r="IR118" s="1"/>
      <c r="IS118" s="1"/>
      <c r="IT118" s="1"/>
      <c r="IU118" s="1"/>
      <c r="IV118" s="1"/>
    </row>
    <row r="119" spans="1:256" s="10" customFormat="1" x14ac:dyDescent="0.2">
      <c r="A119" s="35">
        <f t="shared" si="10"/>
        <v>102</v>
      </c>
      <c r="B119" s="36">
        <f t="shared" si="9"/>
        <v>45078</v>
      </c>
      <c r="C119" s="37">
        <f t="shared" si="14"/>
        <v>1640.4672553969635</v>
      </c>
      <c r="D119" s="38">
        <f t="shared" si="11"/>
        <v>148029.70569116698</v>
      </c>
      <c r="IP119" s="1"/>
      <c r="IQ119" s="1"/>
      <c r="IR119" s="1"/>
      <c r="IS119" s="1"/>
      <c r="IT119" s="1"/>
      <c r="IU119" s="1"/>
      <c r="IV119" s="1"/>
    </row>
    <row r="120" spans="1:256" s="10" customFormat="1" x14ac:dyDescent="0.2">
      <c r="A120" s="35">
        <f t="shared" si="10"/>
        <v>103</v>
      </c>
      <c r="B120" s="36">
        <f t="shared" si="9"/>
        <v>45108</v>
      </c>
      <c r="C120" s="37">
        <f t="shared" si="14"/>
        <v>1640.4672553969635</v>
      </c>
      <c r="D120" s="38">
        <f t="shared" si="11"/>
        <v>149670.17294656395</v>
      </c>
      <c r="IP120" s="1"/>
      <c r="IQ120" s="1"/>
      <c r="IR120" s="1"/>
      <c r="IS120" s="1"/>
      <c r="IT120" s="1"/>
      <c r="IU120" s="1"/>
      <c r="IV120" s="1"/>
    </row>
    <row r="121" spans="1:256" s="10" customFormat="1" x14ac:dyDescent="0.2">
      <c r="A121" s="35">
        <f t="shared" si="10"/>
        <v>104</v>
      </c>
      <c r="B121" s="36">
        <f t="shared" si="9"/>
        <v>45139</v>
      </c>
      <c r="C121" s="37">
        <f t="shared" si="14"/>
        <v>1640.4672553969635</v>
      </c>
      <c r="D121" s="38">
        <f t="shared" si="11"/>
        <v>151310.64020196092</v>
      </c>
      <c r="IP121" s="1"/>
      <c r="IQ121" s="1"/>
      <c r="IR121" s="1"/>
      <c r="IS121" s="1"/>
      <c r="IT121" s="1"/>
      <c r="IU121" s="1"/>
      <c r="IV121" s="1"/>
    </row>
    <row r="122" spans="1:256" s="10" customFormat="1" x14ac:dyDescent="0.2">
      <c r="A122" s="35">
        <f t="shared" si="10"/>
        <v>105</v>
      </c>
      <c r="B122" s="36">
        <f t="shared" si="9"/>
        <v>45170</v>
      </c>
      <c r="C122" s="37">
        <f t="shared" si="14"/>
        <v>1640.4672553969635</v>
      </c>
      <c r="D122" s="38">
        <f t="shared" si="11"/>
        <v>152951.1074573579</v>
      </c>
      <c r="IP122" s="1"/>
      <c r="IQ122" s="1"/>
      <c r="IR122" s="1"/>
      <c r="IS122" s="1"/>
      <c r="IT122" s="1"/>
      <c r="IU122" s="1"/>
      <c r="IV122" s="1"/>
    </row>
    <row r="123" spans="1:256" s="10" customFormat="1" x14ac:dyDescent="0.2">
      <c r="A123" s="35">
        <f t="shared" si="10"/>
        <v>106</v>
      </c>
      <c r="B123" s="36">
        <f t="shared" si="9"/>
        <v>45200</v>
      </c>
      <c r="C123" s="37">
        <f t="shared" si="14"/>
        <v>1640.4672553969635</v>
      </c>
      <c r="D123" s="38">
        <f t="shared" si="11"/>
        <v>154591.57471275487</v>
      </c>
      <c r="IP123" s="1"/>
      <c r="IQ123" s="1"/>
      <c r="IR123" s="1"/>
      <c r="IS123" s="1"/>
      <c r="IT123" s="1"/>
      <c r="IU123" s="1"/>
      <c r="IV123" s="1"/>
    </row>
    <row r="124" spans="1:256" s="10" customFormat="1" x14ac:dyDescent="0.2">
      <c r="A124" s="35">
        <f t="shared" si="10"/>
        <v>107</v>
      </c>
      <c r="B124" s="36">
        <f t="shared" si="9"/>
        <v>45231</v>
      </c>
      <c r="C124" s="37">
        <f t="shared" si="14"/>
        <v>1640.4672553969635</v>
      </c>
      <c r="D124" s="38">
        <f t="shared" si="11"/>
        <v>156232.04196815184</v>
      </c>
      <c r="IP124" s="1"/>
      <c r="IQ124" s="1"/>
      <c r="IR124" s="1"/>
      <c r="IS124" s="1"/>
      <c r="IT124" s="1"/>
      <c r="IU124" s="1"/>
      <c r="IV124" s="1"/>
    </row>
    <row r="125" spans="1:256" s="10" customFormat="1" x14ac:dyDescent="0.2">
      <c r="A125" s="35">
        <f t="shared" si="10"/>
        <v>108</v>
      </c>
      <c r="B125" s="36">
        <f t="shared" si="9"/>
        <v>45261</v>
      </c>
      <c r="C125" s="37">
        <f t="shared" si="14"/>
        <v>1640.4672553969635</v>
      </c>
      <c r="D125" s="38">
        <f t="shared" si="11"/>
        <v>157872.50922354881</v>
      </c>
      <c r="IP125" s="1"/>
      <c r="IQ125" s="1"/>
      <c r="IR125" s="1"/>
      <c r="IS125" s="1"/>
      <c r="IT125" s="1"/>
      <c r="IU125" s="1"/>
      <c r="IV125" s="1"/>
    </row>
    <row r="126" spans="1:256" s="10" customFormat="1" x14ac:dyDescent="0.2">
      <c r="A126" s="35">
        <f t="shared" si="10"/>
        <v>109</v>
      </c>
      <c r="B126" s="36">
        <f t="shared" si="9"/>
        <v>45292</v>
      </c>
      <c r="C126" s="37">
        <f>C125*(1+$D$6)</f>
        <v>1689.6812730588724</v>
      </c>
      <c r="D126" s="38">
        <f t="shared" si="11"/>
        <v>159562.19049660768</v>
      </c>
      <c r="IP126" s="1"/>
      <c r="IQ126" s="1"/>
      <c r="IR126" s="1"/>
      <c r="IS126" s="1"/>
      <c r="IT126" s="1"/>
      <c r="IU126" s="1"/>
      <c r="IV126" s="1"/>
    </row>
    <row r="127" spans="1:256" s="10" customFormat="1" x14ac:dyDescent="0.2">
      <c r="A127" s="35">
        <f t="shared" si="10"/>
        <v>110</v>
      </c>
      <c r="B127" s="36">
        <f t="shared" si="9"/>
        <v>45323</v>
      </c>
      <c r="C127" s="37">
        <f t="shared" ref="C127:C137" si="15">C126</f>
        <v>1689.6812730588724</v>
      </c>
      <c r="D127" s="38">
        <f t="shared" si="11"/>
        <v>161251.87176966656</v>
      </c>
      <c r="IP127" s="1"/>
      <c r="IQ127" s="1"/>
      <c r="IR127" s="1"/>
      <c r="IS127" s="1"/>
      <c r="IT127" s="1"/>
      <c r="IU127" s="1"/>
      <c r="IV127" s="1"/>
    </row>
    <row r="128" spans="1:256" s="10" customFormat="1" x14ac:dyDescent="0.2">
      <c r="A128" s="35">
        <f t="shared" si="10"/>
        <v>111</v>
      </c>
      <c r="B128" s="36">
        <f t="shared" si="9"/>
        <v>45352</v>
      </c>
      <c r="C128" s="37">
        <f t="shared" si="15"/>
        <v>1689.6812730588724</v>
      </c>
      <c r="D128" s="38">
        <f t="shared" si="11"/>
        <v>162941.55304272543</v>
      </c>
      <c r="IP128" s="1"/>
      <c r="IQ128" s="1"/>
      <c r="IR128" s="1"/>
      <c r="IS128" s="1"/>
      <c r="IT128" s="1"/>
      <c r="IU128" s="1"/>
      <c r="IV128" s="1"/>
    </row>
    <row r="129" spans="1:256" s="10" customFormat="1" x14ac:dyDescent="0.2">
      <c r="A129" s="35">
        <f t="shared" si="10"/>
        <v>112</v>
      </c>
      <c r="B129" s="36">
        <f t="shared" si="9"/>
        <v>45383</v>
      </c>
      <c r="C129" s="37">
        <f t="shared" si="15"/>
        <v>1689.6812730588724</v>
      </c>
      <c r="D129" s="38">
        <f t="shared" si="11"/>
        <v>164631.2343157843</v>
      </c>
      <c r="IP129" s="1"/>
      <c r="IQ129" s="1"/>
      <c r="IR129" s="1"/>
      <c r="IS129" s="1"/>
      <c r="IT129" s="1"/>
      <c r="IU129" s="1"/>
      <c r="IV129" s="1"/>
    </row>
    <row r="130" spans="1:256" s="10" customFormat="1" x14ac:dyDescent="0.2">
      <c r="A130" s="35">
        <f t="shared" si="10"/>
        <v>113</v>
      </c>
      <c r="B130" s="36">
        <f t="shared" si="9"/>
        <v>45413</v>
      </c>
      <c r="C130" s="37">
        <f t="shared" si="15"/>
        <v>1689.6812730588724</v>
      </c>
      <c r="D130" s="38">
        <f t="shared" si="11"/>
        <v>166320.91558884317</v>
      </c>
      <c r="IP130" s="1"/>
      <c r="IQ130" s="1"/>
      <c r="IR130" s="1"/>
      <c r="IS130" s="1"/>
      <c r="IT130" s="1"/>
      <c r="IU130" s="1"/>
      <c r="IV130" s="1"/>
    </row>
    <row r="131" spans="1:256" s="10" customFormat="1" x14ac:dyDescent="0.2">
      <c r="A131" s="35">
        <f t="shared" si="10"/>
        <v>114</v>
      </c>
      <c r="B131" s="36">
        <f t="shared" si="9"/>
        <v>45444</v>
      </c>
      <c r="C131" s="37">
        <f t="shared" si="15"/>
        <v>1689.6812730588724</v>
      </c>
      <c r="D131" s="38">
        <f t="shared" si="11"/>
        <v>168010.59686190204</v>
      </c>
      <c r="IP131" s="1"/>
      <c r="IQ131" s="1"/>
      <c r="IR131" s="1"/>
      <c r="IS131" s="1"/>
      <c r="IT131" s="1"/>
      <c r="IU131" s="1"/>
      <c r="IV131" s="1"/>
    </row>
    <row r="132" spans="1:256" s="10" customFormat="1" x14ac:dyDescent="0.2">
      <c r="A132" s="35">
        <f t="shared" si="10"/>
        <v>115</v>
      </c>
      <c r="B132" s="36">
        <f t="shared" si="9"/>
        <v>45474</v>
      </c>
      <c r="C132" s="37">
        <f t="shared" si="15"/>
        <v>1689.6812730588724</v>
      </c>
      <c r="D132" s="38">
        <f t="shared" si="11"/>
        <v>169700.27813496091</v>
      </c>
      <c r="IP132" s="1"/>
      <c r="IQ132" s="1"/>
      <c r="IR132" s="1"/>
      <c r="IS132" s="1"/>
      <c r="IT132" s="1"/>
      <c r="IU132" s="1"/>
      <c r="IV132" s="1"/>
    </row>
    <row r="133" spans="1:256" s="10" customFormat="1" x14ac:dyDescent="0.2">
      <c r="A133" s="35">
        <f t="shared" si="10"/>
        <v>116</v>
      </c>
      <c r="B133" s="36">
        <f t="shared" si="9"/>
        <v>45505</v>
      </c>
      <c r="C133" s="37">
        <f t="shared" si="15"/>
        <v>1689.6812730588724</v>
      </c>
      <c r="D133" s="38">
        <f t="shared" si="11"/>
        <v>171389.95940801979</v>
      </c>
      <c r="IP133" s="1"/>
      <c r="IQ133" s="1"/>
      <c r="IR133" s="1"/>
      <c r="IS133" s="1"/>
      <c r="IT133" s="1"/>
      <c r="IU133" s="1"/>
      <c r="IV133" s="1"/>
    </row>
    <row r="134" spans="1:256" s="10" customFormat="1" x14ac:dyDescent="0.2">
      <c r="A134" s="35">
        <f t="shared" si="10"/>
        <v>117</v>
      </c>
      <c r="B134" s="36">
        <f t="shared" si="9"/>
        <v>45536</v>
      </c>
      <c r="C134" s="37">
        <f t="shared" si="15"/>
        <v>1689.6812730588724</v>
      </c>
      <c r="D134" s="38">
        <f t="shared" si="11"/>
        <v>173079.64068107866</v>
      </c>
      <c r="IP134" s="1"/>
      <c r="IQ134" s="1"/>
      <c r="IR134" s="1"/>
      <c r="IS134" s="1"/>
      <c r="IT134" s="1"/>
      <c r="IU134" s="1"/>
      <c r="IV134" s="1"/>
    </row>
    <row r="135" spans="1:256" s="10" customFormat="1" x14ac:dyDescent="0.2">
      <c r="A135" s="35">
        <f t="shared" si="10"/>
        <v>118</v>
      </c>
      <c r="B135" s="36">
        <f t="shared" si="9"/>
        <v>45566</v>
      </c>
      <c r="C135" s="37">
        <f t="shared" si="15"/>
        <v>1689.6812730588724</v>
      </c>
      <c r="D135" s="38">
        <f t="shared" si="11"/>
        <v>174769.32195413753</v>
      </c>
      <c r="IP135" s="1"/>
      <c r="IQ135" s="1"/>
      <c r="IR135" s="1"/>
      <c r="IS135" s="1"/>
      <c r="IT135" s="1"/>
      <c r="IU135" s="1"/>
      <c r="IV135" s="1"/>
    </row>
    <row r="136" spans="1:256" s="10" customFormat="1" x14ac:dyDescent="0.2">
      <c r="A136" s="35">
        <f t="shared" si="10"/>
        <v>119</v>
      </c>
      <c r="B136" s="36">
        <f t="shared" si="9"/>
        <v>45597</v>
      </c>
      <c r="C136" s="37">
        <f t="shared" si="15"/>
        <v>1689.6812730588724</v>
      </c>
      <c r="D136" s="38">
        <f t="shared" si="11"/>
        <v>176459.0032271964</v>
      </c>
      <c r="IP136" s="1"/>
      <c r="IQ136" s="1"/>
      <c r="IR136" s="1"/>
      <c r="IS136" s="1"/>
      <c r="IT136" s="1"/>
      <c r="IU136" s="1"/>
      <c r="IV136" s="1"/>
    </row>
    <row r="137" spans="1:256" s="10" customFormat="1" x14ac:dyDescent="0.2">
      <c r="A137" s="35">
        <f t="shared" si="10"/>
        <v>120</v>
      </c>
      <c r="B137" s="36">
        <f t="shared" si="9"/>
        <v>45627</v>
      </c>
      <c r="C137" s="37">
        <f t="shared" si="15"/>
        <v>1689.6812730588724</v>
      </c>
      <c r="D137" s="38">
        <f t="shared" si="11"/>
        <v>178148.68450025527</v>
      </c>
      <c r="IP137" s="1"/>
      <c r="IQ137" s="1"/>
      <c r="IR137" s="1"/>
      <c r="IS137" s="1"/>
      <c r="IT137" s="1"/>
      <c r="IU137" s="1"/>
      <c r="IV137" s="1"/>
    </row>
    <row r="138" spans="1:256" s="10" customFormat="1" x14ac:dyDescent="0.2">
      <c r="A138" s="35">
        <f t="shared" si="10"/>
        <v>121</v>
      </c>
      <c r="B138" s="36">
        <f t="shared" si="9"/>
        <v>45658</v>
      </c>
      <c r="C138" s="37">
        <f>C137*(1+$D$6)</f>
        <v>1740.3717112506386</v>
      </c>
      <c r="D138" s="38">
        <f t="shared" si="11"/>
        <v>179889.0562115059</v>
      </c>
      <c r="IP138" s="1"/>
      <c r="IQ138" s="1"/>
      <c r="IR138" s="1"/>
      <c r="IS138" s="1"/>
      <c r="IT138" s="1"/>
      <c r="IU138" s="1"/>
      <c r="IV138" s="1"/>
    </row>
    <row r="139" spans="1:256" s="10" customFormat="1" x14ac:dyDescent="0.2">
      <c r="A139" s="35">
        <f t="shared" si="10"/>
        <v>122</v>
      </c>
      <c r="B139" s="36">
        <f t="shared" si="9"/>
        <v>45689</v>
      </c>
      <c r="C139" s="37">
        <f t="shared" ref="C139:C149" si="16">C138</f>
        <v>1740.3717112506386</v>
      </c>
      <c r="D139" s="38">
        <f t="shared" si="11"/>
        <v>181629.42792275653</v>
      </c>
      <c r="IP139" s="1"/>
      <c r="IQ139" s="1"/>
      <c r="IR139" s="1"/>
      <c r="IS139" s="1"/>
      <c r="IT139" s="1"/>
      <c r="IU139" s="1"/>
      <c r="IV139" s="1"/>
    </row>
    <row r="140" spans="1:256" s="10" customFormat="1" x14ac:dyDescent="0.2">
      <c r="A140" s="35">
        <f t="shared" si="10"/>
        <v>123</v>
      </c>
      <c r="B140" s="36">
        <f t="shared" si="9"/>
        <v>45717</v>
      </c>
      <c r="C140" s="37">
        <f t="shared" si="16"/>
        <v>1740.3717112506386</v>
      </c>
      <c r="D140" s="38">
        <f t="shared" si="11"/>
        <v>183369.79963400715</v>
      </c>
      <c r="IP140" s="1"/>
      <c r="IQ140" s="1"/>
      <c r="IR140" s="1"/>
      <c r="IS140" s="1"/>
      <c r="IT140" s="1"/>
      <c r="IU140" s="1"/>
      <c r="IV140" s="1"/>
    </row>
    <row r="141" spans="1:256" s="10" customFormat="1" x14ac:dyDescent="0.2">
      <c r="A141" s="35">
        <f t="shared" si="10"/>
        <v>124</v>
      </c>
      <c r="B141" s="36">
        <f t="shared" si="9"/>
        <v>45748</v>
      </c>
      <c r="C141" s="37">
        <f t="shared" si="16"/>
        <v>1740.3717112506386</v>
      </c>
      <c r="D141" s="38">
        <f t="shared" si="11"/>
        <v>185110.17134525778</v>
      </c>
      <c r="IP141" s="1"/>
      <c r="IQ141" s="1"/>
      <c r="IR141" s="1"/>
      <c r="IS141" s="1"/>
      <c r="IT141" s="1"/>
      <c r="IU141" s="1"/>
      <c r="IV141" s="1"/>
    </row>
    <row r="142" spans="1:256" s="10" customFormat="1" x14ac:dyDescent="0.2">
      <c r="A142" s="35">
        <f t="shared" si="10"/>
        <v>125</v>
      </c>
      <c r="B142" s="36">
        <f t="shared" si="9"/>
        <v>45778</v>
      </c>
      <c r="C142" s="37">
        <f t="shared" si="16"/>
        <v>1740.3717112506386</v>
      </c>
      <c r="D142" s="38">
        <f t="shared" si="11"/>
        <v>186850.54305650841</v>
      </c>
      <c r="IP142" s="1"/>
      <c r="IQ142" s="1"/>
      <c r="IR142" s="1"/>
      <c r="IS142" s="1"/>
      <c r="IT142" s="1"/>
      <c r="IU142" s="1"/>
      <c r="IV142" s="1"/>
    </row>
    <row r="143" spans="1:256" s="10" customFormat="1" x14ac:dyDescent="0.2">
      <c r="A143" s="35">
        <f t="shared" si="10"/>
        <v>126</v>
      </c>
      <c r="B143" s="36">
        <f t="shared" si="9"/>
        <v>45809</v>
      </c>
      <c r="C143" s="37">
        <f t="shared" si="16"/>
        <v>1740.3717112506386</v>
      </c>
      <c r="D143" s="38">
        <f t="shared" si="11"/>
        <v>188590.91476775904</v>
      </c>
      <c r="IP143" s="1"/>
      <c r="IQ143" s="1"/>
      <c r="IR143" s="1"/>
      <c r="IS143" s="1"/>
      <c r="IT143" s="1"/>
      <c r="IU143" s="1"/>
      <c r="IV143" s="1"/>
    </row>
    <row r="144" spans="1:256" s="10" customFormat="1" x14ac:dyDescent="0.2">
      <c r="A144" s="35">
        <f t="shared" si="10"/>
        <v>127</v>
      </c>
      <c r="B144" s="36">
        <f t="shared" si="9"/>
        <v>45839</v>
      </c>
      <c r="C144" s="37">
        <f t="shared" si="16"/>
        <v>1740.3717112506386</v>
      </c>
      <c r="D144" s="38">
        <f t="shared" si="11"/>
        <v>190331.28647900966</v>
      </c>
      <c r="IP144" s="1"/>
      <c r="IQ144" s="1"/>
      <c r="IR144" s="1"/>
      <c r="IS144" s="1"/>
      <c r="IT144" s="1"/>
      <c r="IU144" s="1"/>
      <c r="IV144" s="1"/>
    </row>
    <row r="145" spans="1:256" s="10" customFormat="1" x14ac:dyDescent="0.2">
      <c r="A145" s="35">
        <f t="shared" si="10"/>
        <v>128</v>
      </c>
      <c r="B145" s="36">
        <f t="shared" si="9"/>
        <v>45870</v>
      </c>
      <c r="C145" s="37">
        <f t="shared" si="16"/>
        <v>1740.3717112506386</v>
      </c>
      <c r="D145" s="38">
        <f t="shared" si="11"/>
        <v>192071.65819026029</v>
      </c>
      <c r="IP145" s="1"/>
      <c r="IQ145" s="1"/>
      <c r="IR145" s="1"/>
      <c r="IS145" s="1"/>
      <c r="IT145" s="1"/>
      <c r="IU145" s="1"/>
      <c r="IV145" s="1"/>
    </row>
    <row r="146" spans="1:256" s="10" customFormat="1" x14ac:dyDescent="0.2">
      <c r="A146" s="35">
        <f t="shared" si="10"/>
        <v>129</v>
      </c>
      <c r="B146" s="36">
        <f t="shared" ref="B146:B209" si="17">IF(Pay_Num&lt;&gt;"",DATE(YEAR(Loan_Start),MONTH(Loan_Start)+(Pay_Num)*12/Num_Pmt_Per_Year,DAY(Loan_Start)),"")</f>
        <v>45901</v>
      </c>
      <c r="C146" s="37">
        <f t="shared" si="16"/>
        <v>1740.3717112506386</v>
      </c>
      <c r="D146" s="38">
        <f t="shared" si="11"/>
        <v>193812.02990151092</v>
      </c>
      <c r="IP146" s="1"/>
      <c r="IQ146" s="1"/>
      <c r="IR146" s="1"/>
      <c r="IS146" s="1"/>
      <c r="IT146" s="1"/>
      <c r="IU146" s="1"/>
      <c r="IV146" s="1"/>
    </row>
    <row r="147" spans="1:256" s="10" customFormat="1" x14ac:dyDescent="0.2">
      <c r="A147" s="35">
        <f t="shared" ref="A147:A210" si="18">IF(Values_Entered,A146+1,"")</f>
        <v>130</v>
      </c>
      <c r="B147" s="36">
        <f t="shared" si="17"/>
        <v>45931</v>
      </c>
      <c r="C147" s="37">
        <f t="shared" si="16"/>
        <v>1740.3717112506386</v>
      </c>
      <c r="D147" s="38">
        <f t="shared" ref="D147:D210" si="19">D146+C147</f>
        <v>195552.40161276155</v>
      </c>
      <c r="IP147" s="1"/>
      <c r="IQ147" s="1"/>
      <c r="IR147" s="1"/>
      <c r="IS147" s="1"/>
      <c r="IT147" s="1"/>
      <c r="IU147" s="1"/>
      <c r="IV147" s="1"/>
    </row>
    <row r="148" spans="1:256" s="10" customFormat="1" x14ac:dyDescent="0.2">
      <c r="A148" s="35">
        <f t="shared" si="18"/>
        <v>131</v>
      </c>
      <c r="B148" s="36">
        <f t="shared" si="17"/>
        <v>45962</v>
      </c>
      <c r="C148" s="37">
        <f t="shared" si="16"/>
        <v>1740.3717112506386</v>
      </c>
      <c r="D148" s="38">
        <f t="shared" si="19"/>
        <v>197292.77332401217</v>
      </c>
      <c r="IP148" s="1"/>
      <c r="IQ148" s="1"/>
      <c r="IR148" s="1"/>
      <c r="IS148" s="1"/>
      <c r="IT148" s="1"/>
      <c r="IU148" s="1"/>
      <c r="IV148" s="1"/>
    </row>
    <row r="149" spans="1:256" s="10" customFormat="1" x14ac:dyDescent="0.2">
      <c r="A149" s="35">
        <f t="shared" si="18"/>
        <v>132</v>
      </c>
      <c r="B149" s="36">
        <f t="shared" si="17"/>
        <v>45992</v>
      </c>
      <c r="C149" s="37">
        <f t="shared" si="16"/>
        <v>1740.3717112506386</v>
      </c>
      <c r="D149" s="38">
        <f t="shared" si="19"/>
        <v>199033.1450352628</v>
      </c>
      <c r="IP149" s="1"/>
      <c r="IQ149" s="1"/>
      <c r="IR149" s="1"/>
      <c r="IS149" s="1"/>
      <c r="IT149" s="1"/>
      <c r="IU149" s="1"/>
      <c r="IV149" s="1"/>
    </row>
    <row r="150" spans="1:256" s="10" customFormat="1" x14ac:dyDescent="0.2">
      <c r="A150" s="35">
        <f t="shared" si="18"/>
        <v>133</v>
      </c>
      <c r="B150" s="36">
        <f t="shared" si="17"/>
        <v>46023</v>
      </c>
      <c r="C150" s="37">
        <f>C149*(1+$D$6)</f>
        <v>1792.5828625881577</v>
      </c>
      <c r="D150" s="38">
        <f t="shared" si="19"/>
        <v>200825.72789785097</v>
      </c>
      <c r="IP150" s="1"/>
      <c r="IQ150" s="1"/>
      <c r="IR150" s="1"/>
      <c r="IS150" s="1"/>
      <c r="IT150" s="1"/>
      <c r="IU150" s="1"/>
      <c r="IV150" s="1"/>
    </row>
    <row r="151" spans="1:256" s="10" customFormat="1" x14ac:dyDescent="0.2">
      <c r="A151" s="35">
        <f t="shared" si="18"/>
        <v>134</v>
      </c>
      <c r="B151" s="36">
        <f t="shared" si="17"/>
        <v>46054</v>
      </c>
      <c r="C151" s="37">
        <f t="shared" ref="C151:C161" si="20">C150</f>
        <v>1792.5828625881577</v>
      </c>
      <c r="D151" s="38">
        <f t="shared" si="19"/>
        <v>202618.31076043914</v>
      </c>
      <c r="IP151" s="1"/>
      <c r="IQ151" s="1"/>
      <c r="IR151" s="1"/>
      <c r="IS151" s="1"/>
      <c r="IT151" s="1"/>
      <c r="IU151" s="1"/>
      <c r="IV151" s="1"/>
    </row>
    <row r="152" spans="1:256" s="10" customFormat="1" x14ac:dyDescent="0.2">
      <c r="A152" s="35">
        <f t="shared" si="18"/>
        <v>135</v>
      </c>
      <c r="B152" s="36">
        <f t="shared" si="17"/>
        <v>46082</v>
      </c>
      <c r="C152" s="37">
        <f t="shared" si="20"/>
        <v>1792.5828625881577</v>
      </c>
      <c r="D152" s="38">
        <f t="shared" si="19"/>
        <v>204410.89362302731</v>
      </c>
      <c r="IP152" s="1"/>
      <c r="IQ152" s="1"/>
      <c r="IR152" s="1"/>
      <c r="IS152" s="1"/>
      <c r="IT152" s="1"/>
      <c r="IU152" s="1"/>
      <c r="IV152" s="1"/>
    </row>
    <row r="153" spans="1:256" s="10" customFormat="1" x14ac:dyDescent="0.2">
      <c r="A153" s="35">
        <f t="shared" si="18"/>
        <v>136</v>
      </c>
      <c r="B153" s="36">
        <f t="shared" si="17"/>
        <v>46113</v>
      </c>
      <c r="C153" s="37">
        <f t="shared" si="20"/>
        <v>1792.5828625881577</v>
      </c>
      <c r="D153" s="38">
        <f t="shared" si="19"/>
        <v>206203.47648561548</v>
      </c>
      <c r="IP153" s="1"/>
      <c r="IQ153" s="1"/>
      <c r="IR153" s="1"/>
      <c r="IS153" s="1"/>
      <c r="IT153" s="1"/>
      <c r="IU153" s="1"/>
      <c r="IV153" s="1"/>
    </row>
    <row r="154" spans="1:256" s="10" customFormat="1" x14ac:dyDescent="0.2">
      <c r="A154" s="35">
        <f t="shared" si="18"/>
        <v>137</v>
      </c>
      <c r="B154" s="36">
        <f t="shared" si="17"/>
        <v>46143</v>
      </c>
      <c r="C154" s="37">
        <f t="shared" si="20"/>
        <v>1792.5828625881577</v>
      </c>
      <c r="D154" s="38">
        <f t="shared" si="19"/>
        <v>207996.05934820365</v>
      </c>
      <c r="IP154" s="1"/>
      <c r="IQ154" s="1"/>
      <c r="IR154" s="1"/>
      <c r="IS154" s="1"/>
      <c r="IT154" s="1"/>
      <c r="IU154" s="1"/>
      <c r="IV154" s="1"/>
    </row>
    <row r="155" spans="1:256" s="10" customFormat="1" x14ac:dyDescent="0.2">
      <c r="A155" s="35">
        <f t="shared" si="18"/>
        <v>138</v>
      </c>
      <c r="B155" s="36">
        <f t="shared" si="17"/>
        <v>46174</v>
      </c>
      <c r="C155" s="37">
        <f t="shared" si="20"/>
        <v>1792.5828625881577</v>
      </c>
      <c r="D155" s="38">
        <f t="shared" si="19"/>
        <v>209788.64221079182</v>
      </c>
      <c r="IP155" s="1"/>
      <c r="IQ155" s="1"/>
      <c r="IR155" s="1"/>
      <c r="IS155" s="1"/>
      <c r="IT155" s="1"/>
      <c r="IU155" s="1"/>
      <c r="IV155" s="1"/>
    </row>
    <row r="156" spans="1:256" s="10" customFormat="1" x14ac:dyDescent="0.2">
      <c r="A156" s="35">
        <f t="shared" si="18"/>
        <v>139</v>
      </c>
      <c r="B156" s="36">
        <f t="shared" si="17"/>
        <v>46204</v>
      </c>
      <c r="C156" s="37">
        <f t="shared" si="20"/>
        <v>1792.5828625881577</v>
      </c>
      <c r="D156" s="38">
        <f t="shared" si="19"/>
        <v>211581.22507337999</v>
      </c>
      <c r="IP156" s="1"/>
      <c r="IQ156" s="1"/>
      <c r="IR156" s="1"/>
      <c r="IS156" s="1"/>
      <c r="IT156" s="1"/>
      <c r="IU156" s="1"/>
      <c r="IV156" s="1"/>
    </row>
    <row r="157" spans="1:256" s="10" customFormat="1" x14ac:dyDescent="0.2">
      <c r="A157" s="35">
        <f t="shared" si="18"/>
        <v>140</v>
      </c>
      <c r="B157" s="36">
        <f t="shared" si="17"/>
        <v>46235</v>
      </c>
      <c r="C157" s="37">
        <f t="shared" si="20"/>
        <v>1792.5828625881577</v>
      </c>
      <c r="D157" s="38">
        <f t="shared" si="19"/>
        <v>213373.80793596816</v>
      </c>
      <c r="IP157" s="1"/>
      <c r="IQ157" s="1"/>
      <c r="IR157" s="1"/>
      <c r="IS157" s="1"/>
      <c r="IT157" s="1"/>
      <c r="IU157" s="1"/>
      <c r="IV157" s="1"/>
    </row>
    <row r="158" spans="1:256" s="10" customFormat="1" x14ac:dyDescent="0.2">
      <c r="A158" s="35">
        <f t="shared" si="18"/>
        <v>141</v>
      </c>
      <c r="B158" s="36">
        <f t="shared" si="17"/>
        <v>46266</v>
      </c>
      <c r="C158" s="37">
        <f t="shared" si="20"/>
        <v>1792.5828625881577</v>
      </c>
      <c r="D158" s="38">
        <f t="shared" si="19"/>
        <v>215166.39079855633</v>
      </c>
      <c r="IP158" s="1"/>
      <c r="IQ158" s="1"/>
      <c r="IR158" s="1"/>
      <c r="IS158" s="1"/>
      <c r="IT158" s="1"/>
      <c r="IU158" s="1"/>
      <c r="IV158" s="1"/>
    </row>
    <row r="159" spans="1:256" s="10" customFormat="1" x14ac:dyDescent="0.2">
      <c r="A159" s="35">
        <f t="shared" si="18"/>
        <v>142</v>
      </c>
      <c r="B159" s="36">
        <f t="shared" si="17"/>
        <v>46296</v>
      </c>
      <c r="C159" s="37">
        <f t="shared" si="20"/>
        <v>1792.5828625881577</v>
      </c>
      <c r="D159" s="38">
        <f t="shared" si="19"/>
        <v>216958.9736611445</v>
      </c>
      <c r="IP159" s="1"/>
      <c r="IQ159" s="1"/>
      <c r="IR159" s="1"/>
      <c r="IS159" s="1"/>
      <c r="IT159" s="1"/>
      <c r="IU159" s="1"/>
      <c r="IV159" s="1"/>
    </row>
    <row r="160" spans="1:256" s="10" customFormat="1" x14ac:dyDescent="0.2">
      <c r="A160" s="35">
        <f t="shared" si="18"/>
        <v>143</v>
      </c>
      <c r="B160" s="36">
        <f t="shared" si="17"/>
        <v>46327</v>
      </c>
      <c r="C160" s="37">
        <f t="shared" si="20"/>
        <v>1792.5828625881577</v>
      </c>
      <c r="D160" s="38">
        <f t="shared" si="19"/>
        <v>218751.55652373267</v>
      </c>
      <c r="IP160" s="1"/>
      <c r="IQ160" s="1"/>
      <c r="IR160" s="1"/>
      <c r="IS160" s="1"/>
      <c r="IT160" s="1"/>
      <c r="IU160" s="1"/>
      <c r="IV160" s="1"/>
    </row>
    <row r="161" spans="1:256" s="10" customFormat="1" x14ac:dyDescent="0.2">
      <c r="A161" s="35">
        <f t="shared" si="18"/>
        <v>144</v>
      </c>
      <c r="B161" s="36">
        <f t="shared" si="17"/>
        <v>46357</v>
      </c>
      <c r="C161" s="37">
        <f t="shared" si="20"/>
        <v>1792.5828625881577</v>
      </c>
      <c r="D161" s="38">
        <f t="shared" si="19"/>
        <v>220544.13938632084</v>
      </c>
      <c r="IP161" s="1"/>
      <c r="IQ161" s="1"/>
      <c r="IR161" s="1"/>
      <c r="IS161" s="1"/>
      <c r="IT161" s="1"/>
      <c r="IU161" s="1"/>
      <c r="IV161" s="1"/>
    </row>
    <row r="162" spans="1:256" s="10" customFormat="1" x14ac:dyDescent="0.2">
      <c r="A162" s="35">
        <f t="shared" si="18"/>
        <v>145</v>
      </c>
      <c r="B162" s="36">
        <f t="shared" si="17"/>
        <v>46388</v>
      </c>
      <c r="C162" s="37">
        <f>C161*(1+$D$6)</f>
        <v>1846.3603484658024</v>
      </c>
      <c r="D162" s="38">
        <f t="shared" si="19"/>
        <v>222390.49973478663</v>
      </c>
      <c r="IP162" s="1"/>
      <c r="IQ162" s="1"/>
      <c r="IR162" s="1"/>
      <c r="IS162" s="1"/>
      <c r="IT162" s="1"/>
      <c r="IU162" s="1"/>
      <c r="IV162" s="1"/>
    </row>
    <row r="163" spans="1:256" s="10" customFormat="1" x14ac:dyDescent="0.2">
      <c r="A163" s="35">
        <f t="shared" si="18"/>
        <v>146</v>
      </c>
      <c r="B163" s="36">
        <f t="shared" si="17"/>
        <v>46419</v>
      </c>
      <c r="C163" s="37">
        <f t="shared" ref="C163:C173" si="21">C162</f>
        <v>1846.3603484658024</v>
      </c>
      <c r="D163" s="38">
        <f t="shared" si="19"/>
        <v>224236.86008325242</v>
      </c>
      <c r="IP163" s="1"/>
      <c r="IQ163" s="1"/>
      <c r="IR163" s="1"/>
      <c r="IS163" s="1"/>
      <c r="IT163" s="1"/>
      <c r="IU163" s="1"/>
      <c r="IV163" s="1"/>
    </row>
    <row r="164" spans="1:256" s="10" customFormat="1" x14ac:dyDescent="0.2">
      <c r="A164" s="35">
        <f t="shared" si="18"/>
        <v>147</v>
      </c>
      <c r="B164" s="36">
        <f t="shared" si="17"/>
        <v>46447</v>
      </c>
      <c r="C164" s="37">
        <f t="shared" si="21"/>
        <v>1846.3603484658024</v>
      </c>
      <c r="D164" s="38">
        <f t="shared" si="19"/>
        <v>226083.22043171822</v>
      </c>
      <c r="IP164" s="1"/>
      <c r="IQ164" s="1"/>
      <c r="IR164" s="1"/>
      <c r="IS164" s="1"/>
      <c r="IT164" s="1"/>
      <c r="IU164" s="1"/>
      <c r="IV164" s="1"/>
    </row>
    <row r="165" spans="1:256" s="10" customFormat="1" x14ac:dyDescent="0.2">
      <c r="A165" s="35">
        <f t="shared" si="18"/>
        <v>148</v>
      </c>
      <c r="B165" s="36">
        <f t="shared" si="17"/>
        <v>46478</v>
      </c>
      <c r="C165" s="37">
        <f t="shared" si="21"/>
        <v>1846.3603484658024</v>
      </c>
      <c r="D165" s="38">
        <f t="shared" si="19"/>
        <v>227929.58078018401</v>
      </c>
      <c r="IP165" s="1"/>
      <c r="IQ165" s="1"/>
      <c r="IR165" s="1"/>
      <c r="IS165" s="1"/>
      <c r="IT165" s="1"/>
      <c r="IU165" s="1"/>
      <c r="IV165" s="1"/>
    </row>
    <row r="166" spans="1:256" s="10" customFormat="1" x14ac:dyDescent="0.2">
      <c r="A166" s="35">
        <f t="shared" si="18"/>
        <v>149</v>
      </c>
      <c r="B166" s="36">
        <f t="shared" si="17"/>
        <v>46508</v>
      </c>
      <c r="C166" s="37">
        <f t="shared" si="21"/>
        <v>1846.3603484658024</v>
      </c>
      <c r="D166" s="38">
        <f t="shared" si="19"/>
        <v>229775.94112864981</v>
      </c>
      <c r="IP166" s="1"/>
      <c r="IQ166" s="1"/>
      <c r="IR166" s="1"/>
      <c r="IS166" s="1"/>
      <c r="IT166" s="1"/>
      <c r="IU166" s="1"/>
      <c r="IV166" s="1"/>
    </row>
    <row r="167" spans="1:256" s="10" customFormat="1" x14ac:dyDescent="0.2">
      <c r="A167" s="35">
        <f t="shared" si="18"/>
        <v>150</v>
      </c>
      <c r="B167" s="36">
        <f t="shared" si="17"/>
        <v>46539</v>
      </c>
      <c r="C167" s="37">
        <f t="shared" si="21"/>
        <v>1846.3603484658024</v>
      </c>
      <c r="D167" s="38">
        <f t="shared" si="19"/>
        <v>231622.3014771156</v>
      </c>
      <c r="IP167" s="1"/>
      <c r="IQ167" s="1"/>
      <c r="IR167" s="1"/>
      <c r="IS167" s="1"/>
      <c r="IT167" s="1"/>
      <c r="IU167" s="1"/>
      <c r="IV167" s="1"/>
    </row>
    <row r="168" spans="1:256" s="10" customFormat="1" x14ac:dyDescent="0.2">
      <c r="A168" s="35">
        <f t="shared" si="18"/>
        <v>151</v>
      </c>
      <c r="B168" s="36">
        <f t="shared" si="17"/>
        <v>46569</v>
      </c>
      <c r="C168" s="37">
        <f t="shared" si="21"/>
        <v>1846.3603484658024</v>
      </c>
      <c r="D168" s="38">
        <f t="shared" si="19"/>
        <v>233468.6618255814</v>
      </c>
      <c r="IP168" s="1"/>
      <c r="IQ168" s="1"/>
      <c r="IR168" s="1"/>
      <c r="IS168" s="1"/>
      <c r="IT168" s="1"/>
      <c r="IU168" s="1"/>
      <c r="IV168" s="1"/>
    </row>
    <row r="169" spans="1:256" s="10" customFormat="1" x14ac:dyDescent="0.2">
      <c r="A169" s="35">
        <f t="shared" si="18"/>
        <v>152</v>
      </c>
      <c r="B169" s="36">
        <f t="shared" si="17"/>
        <v>46600</v>
      </c>
      <c r="C169" s="37">
        <f t="shared" si="21"/>
        <v>1846.3603484658024</v>
      </c>
      <c r="D169" s="38">
        <f t="shared" si="19"/>
        <v>235315.02217404719</v>
      </c>
      <c r="IP169" s="1"/>
      <c r="IQ169" s="1"/>
      <c r="IR169" s="1"/>
      <c r="IS169" s="1"/>
      <c r="IT169" s="1"/>
      <c r="IU169" s="1"/>
      <c r="IV169" s="1"/>
    </row>
    <row r="170" spans="1:256" s="10" customFormat="1" x14ac:dyDescent="0.2">
      <c r="A170" s="35">
        <f t="shared" si="18"/>
        <v>153</v>
      </c>
      <c r="B170" s="36">
        <f t="shared" si="17"/>
        <v>46631</v>
      </c>
      <c r="C170" s="37">
        <f t="shared" si="21"/>
        <v>1846.3603484658024</v>
      </c>
      <c r="D170" s="38">
        <f t="shared" si="19"/>
        <v>237161.38252251298</v>
      </c>
      <c r="IP170" s="1"/>
      <c r="IQ170" s="1"/>
      <c r="IR170" s="1"/>
      <c r="IS170" s="1"/>
      <c r="IT170" s="1"/>
      <c r="IU170" s="1"/>
      <c r="IV170" s="1"/>
    </row>
    <row r="171" spans="1:256" s="10" customFormat="1" x14ac:dyDescent="0.2">
      <c r="A171" s="35">
        <f t="shared" si="18"/>
        <v>154</v>
      </c>
      <c r="B171" s="36">
        <f t="shared" si="17"/>
        <v>46661</v>
      </c>
      <c r="C171" s="37">
        <f t="shared" si="21"/>
        <v>1846.3603484658024</v>
      </c>
      <c r="D171" s="38">
        <f t="shared" si="19"/>
        <v>239007.74287097878</v>
      </c>
      <c r="IP171" s="1"/>
      <c r="IQ171" s="1"/>
      <c r="IR171" s="1"/>
      <c r="IS171" s="1"/>
      <c r="IT171" s="1"/>
      <c r="IU171" s="1"/>
      <c r="IV171" s="1"/>
    </row>
    <row r="172" spans="1:256" s="10" customFormat="1" x14ac:dyDescent="0.2">
      <c r="A172" s="35">
        <f t="shared" si="18"/>
        <v>155</v>
      </c>
      <c r="B172" s="36">
        <f t="shared" si="17"/>
        <v>46692</v>
      </c>
      <c r="C172" s="37">
        <f t="shared" si="21"/>
        <v>1846.3603484658024</v>
      </c>
      <c r="D172" s="38">
        <f t="shared" si="19"/>
        <v>240854.10321944457</v>
      </c>
      <c r="IP172" s="1"/>
      <c r="IQ172" s="1"/>
      <c r="IR172" s="1"/>
      <c r="IS172" s="1"/>
      <c r="IT172" s="1"/>
      <c r="IU172" s="1"/>
      <c r="IV172" s="1"/>
    </row>
    <row r="173" spans="1:256" s="10" customFormat="1" x14ac:dyDescent="0.2">
      <c r="A173" s="35">
        <f t="shared" si="18"/>
        <v>156</v>
      </c>
      <c r="B173" s="36">
        <f t="shared" si="17"/>
        <v>46722</v>
      </c>
      <c r="C173" s="37">
        <f t="shared" si="21"/>
        <v>1846.3603484658024</v>
      </c>
      <c r="D173" s="38">
        <f t="shared" si="19"/>
        <v>242700.46356791037</v>
      </c>
      <c r="IP173" s="1"/>
      <c r="IQ173" s="1"/>
      <c r="IR173" s="1"/>
      <c r="IS173" s="1"/>
      <c r="IT173" s="1"/>
      <c r="IU173" s="1"/>
      <c r="IV173" s="1"/>
    </row>
    <row r="174" spans="1:256" s="10" customFormat="1" x14ac:dyDescent="0.2">
      <c r="A174" s="35">
        <f t="shared" si="18"/>
        <v>157</v>
      </c>
      <c r="B174" s="36">
        <f t="shared" si="17"/>
        <v>46753</v>
      </c>
      <c r="C174" s="37">
        <f>C173*(1+$D$6)</f>
        <v>1901.7511589197766</v>
      </c>
      <c r="D174" s="38">
        <f t="shared" si="19"/>
        <v>244602.21472683013</v>
      </c>
      <c r="IP174" s="1"/>
      <c r="IQ174" s="1"/>
      <c r="IR174" s="1"/>
      <c r="IS174" s="1"/>
      <c r="IT174" s="1"/>
      <c r="IU174" s="1"/>
      <c r="IV174" s="1"/>
    </row>
    <row r="175" spans="1:256" s="10" customFormat="1" x14ac:dyDescent="0.2">
      <c r="A175" s="35">
        <f t="shared" si="18"/>
        <v>158</v>
      </c>
      <c r="B175" s="36">
        <f t="shared" si="17"/>
        <v>46784</v>
      </c>
      <c r="C175" s="37">
        <f t="shared" ref="C175:C185" si="22">C174</f>
        <v>1901.7511589197766</v>
      </c>
      <c r="D175" s="38">
        <f t="shared" si="19"/>
        <v>246503.9658857499</v>
      </c>
      <c r="IP175" s="1"/>
      <c r="IQ175" s="1"/>
      <c r="IR175" s="1"/>
      <c r="IS175" s="1"/>
      <c r="IT175" s="1"/>
      <c r="IU175" s="1"/>
      <c r="IV175" s="1"/>
    </row>
    <row r="176" spans="1:256" s="10" customFormat="1" x14ac:dyDescent="0.2">
      <c r="A176" s="35">
        <f t="shared" si="18"/>
        <v>159</v>
      </c>
      <c r="B176" s="36">
        <f t="shared" si="17"/>
        <v>46813</v>
      </c>
      <c r="C176" s="37">
        <f t="shared" si="22"/>
        <v>1901.7511589197766</v>
      </c>
      <c r="D176" s="38">
        <f t="shared" si="19"/>
        <v>248405.71704466967</v>
      </c>
      <c r="IP176" s="1"/>
      <c r="IQ176" s="1"/>
      <c r="IR176" s="1"/>
      <c r="IS176" s="1"/>
      <c r="IT176" s="1"/>
      <c r="IU176" s="1"/>
      <c r="IV176" s="1"/>
    </row>
    <row r="177" spans="1:256" s="10" customFormat="1" x14ac:dyDescent="0.2">
      <c r="A177" s="35">
        <f t="shared" si="18"/>
        <v>160</v>
      </c>
      <c r="B177" s="36">
        <f t="shared" si="17"/>
        <v>46844</v>
      </c>
      <c r="C177" s="37">
        <f t="shared" si="22"/>
        <v>1901.7511589197766</v>
      </c>
      <c r="D177" s="38">
        <f t="shared" si="19"/>
        <v>250307.46820358944</v>
      </c>
      <c r="IP177" s="1"/>
      <c r="IQ177" s="1"/>
      <c r="IR177" s="1"/>
      <c r="IS177" s="1"/>
      <c r="IT177" s="1"/>
      <c r="IU177" s="1"/>
      <c r="IV177" s="1"/>
    </row>
    <row r="178" spans="1:256" s="10" customFormat="1" x14ac:dyDescent="0.2">
      <c r="A178" s="35">
        <f t="shared" si="18"/>
        <v>161</v>
      </c>
      <c r="B178" s="36">
        <f t="shared" si="17"/>
        <v>46874</v>
      </c>
      <c r="C178" s="37">
        <f t="shared" si="22"/>
        <v>1901.7511589197766</v>
      </c>
      <c r="D178" s="38">
        <f t="shared" si="19"/>
        <v>252209.2193625092</v>
      </c>
      <c r="IP178" s="1"/>
      <c r="IQ178" s="1"/>
      <c r="IR178" s="1"/>
      <c r="IS178" s="1"/>
      <c r="IT178" s="1"/>
      <c r="IU178" s="1"/>
      <c r="IV178" s="1"/>
    </row>
    <row r="179" spans="1:256" s="10" customFormat="1" x14ac:dyDescent="0.2">
      <c r="A179" s="35">
        <f t="shared" si="18"/>
        <v>162</v>
      </c>
      <c r="B179" s="36">
        <f t="shared" si="17"/>
        <v>46905</v>
      </c>
      <c r="C179" s="37">
        <f t="shared" si="22"/>
        <v>1901.7511589197766</v>
      </c>
      <c r="D179" s="38">
        <f t="shared" si="19"/>
        <v>254110.97052142897</v>
      </c>
      <c r="IP179" s="1"/>
      <c r="IQ179" s="1"/>
      <c r="IR179" s="1"/>
      <c r="IS179" s="1"/>
      <c r="IT179" s="1"/>
      <c r="IU179" s="1"/>
      <c r="IV179" s="1"/>
    </row>
    <row r="180" spans="1:256" s="10" customFormat="1" x14ac:dyDescent="0.2">
      <c r="A180" s="35">
        <f t="shared" si="18"/>
        <v>163</v>
      </c>
      <c r="B180" s="36">
        <f t="shared" si="17"/>
        <v>46935</v>
      </c>
      <c r="C180" s="37">
        <f t="shared" si="22"/>
        <v>1901.7511589197766</v>
      </c>
      <c r="D180" s="38">
        <f t="shared" si="19"/>
        <v>256012.72168034874</v>
      </c>
      <c r="IP180" s="1"/>
      <c r="IQ180" s="1"/>
      <c r="IR180" s="1"/>
      <c r="IS180" s="1"/>
      <c r="IT180" s="1"/>
      <c r="IU180" s="1"/>
      <c r="IV180" s="1"/>
    </row>
    <row r="181" spans="1:256" s="10" customFormat="1" x14ac:dyDescent="0.2">
      <c r="A181" s="35">
        <f t="shared" si="18"/>
        <v>164</v>
      </c>
      <c r="B181" s="36">
        <f t="shared" si="17"/>
        <v>46966</v>
      </c>
      <c r="C181" s="37">
        <f t="shared" si="22"/>
        <v>1901.7511589197766</v>
      </c>
      <c r="D181" s="38">
        <f t="shared" si="19"/>
        <v>257914.47283926851</v>
      </c>
      <c r="IP181" s="1"/>
      <c r="IQ181" s="1"/>
      <c r="IR181" s="1"/>
      <c r="IS181" s="1"/>
      <c r="IT181" s="1"/>
      <c r="IU181" s="1"/>
      <c r="IV181" s="1"/>
    </row>
    <row r="182" spans="1:256" s="10" customFormat="1" x14ac:dyDescent="0.2">
      <c r="A182" s="35">
        <f t="shared" si="18"/>
        <v>165</v>
      </c>
      <c r="B182" s="36">
        <f t="shared" si="17"/>
        <v>46997</v>
      </c>
      <c r="C182" s="37">
        <f t="shared" si="22"/>
        <v>1901.7511589197766</v>
      </c>
      <c r="D182" s="38">
        <f t="shared" si="19"/>
        <v>259816.22399818827</v>
      </c>
      <c r="IP182" s="1"/>
      <c r="IQ182" s="1"/>
      <c r="IR182" s="1"/>
      <c r="IS182" s="1"/>
      <c r="IT182" s="1"/>
      <c r="IU182" s="1"/>
      <c r="IV182" s="1"/>
    </row>
    <row r="183" spans="1:256" s="10" customFormat="1" x14ac:dyDescent="0.2">
      <c r="A183" s="35">
        <f t="shared" si="18"/>
        <v>166</v>
      </c>
      <c r="B183" s="36">
        <f t="shared" si="17"/>
        <v>47027</v>
      </c>
      <c r="C183" s="37">
        <f t="shared" si="22"/>
        <v>1901.7511589197766</v>
      </c>
      <c r="D183" s="38">
        <f t="shared" si="19"/>
        <v>261717.97515710804</v>
      </c>
      <c r="IP183" s="1"/>
      <c r="IQ183" s="1"/>
      <c r="IR183" s="1"/>
      <c r="IS183" s="1"/>
      <c r="IT183" s="1"/>
      <c r="IU183" s="1"/>
      <c r="IV183" s="1"/>
    </row>
    <row r="184" spans="1:256" s="10" customFormat="1" x14ac:dyDescent="0.2">
      <c r="A184" s="35">
        <f t="shared" si="18"/>
        <v>167</v>
      </c>
      <c r="B184" s="36">
        <f t="shared" si="17"/>
        <v>47058</v>
      </c>
      <c r="C184" s="37">
        <f t="shared" si="22"/>
        <v>1901.7511589197766</v>
      </c>
      <c r="D184" s="38">
        <f t="shared" si="19"/>
        <v>263619.72631602781</v>
      </c>
      <c r="IP184" s="1"/>
      <c r="IQ184" s="1"/>
      <c r="IR184" s="1"/>
      <c r="IS184" s="1"/>
      <c r="IT184" s="1"/>
      <c r="IU184" s="1"/>
      <c r="IV184" s="1"/>
    </row>
    <row r="185" spans="1:256" s="10" customFormat="1" x14ac:dyDescent="0.2">
      <c r="A185" s="35">
        <f t="shared" si="18"/>
        <v>168</v>
      </c>
      <c r="B185" s="36">
        <f t="shared" si="17"/>
        <v>47088</v>
      </c>
      <c r="C185" s="37">
        <f t="shared" si="22"/>
        <v>1901.7511589197766</v>
      </c>
      <c r="D185" s="38">
        <f t="shared" si="19"/>
        <v>265521.47747494758</v>
      </c>
      <c r="IP185" s="1"/>
      <c r="IQ185" s="1"/>
      <c r="IR185" s="1"/>
      <c r="IS185" s="1"/>
      <c r="IT185" s="1"/>
      <c r="IU185" s="1"/>
      <c r="IV185" s="1"/>
    </row>
    <row r="186" spans="1:256" s="10" customFormat="1" x14ac:dyDescent="0.2">
      <c r="A186" s="35">
        <f t="shared" si="18"/>
        <v>169</v>
      </c>
      <c r="B186" s="36">
        <f t="shared" si="17"/>
        <v>47119</v>
      </c>
      <c r="C186" s="37">
        <f>C185*(1+$D$6)</f>
        <v>1958.80369368737</v>
      </c>
      <c r="D186" s="38">
        <f t="shared" si="19"/>
        <v>267480.28116863495</v>
      </c>
      <c r="IP186" s="1"/>
      <c r="IQ186" s="1"/>
      <c r="IR186" s="1"/>
      <c r="IS186" s="1"/>
      <c r="IT186" s="1"/>
      <c r="IU186" s="1"/>
      <c r="IV186" s="1"/>
    </row>
    <row r="187" spans="1:256" s="10" customFormat="1" x14ac:dyDescent="0.2">
      <c r="A187" s="35">
        <f t="shared" si="18"/>
        <v>170</v>
      </c>
      <c r="B187" s="36">
        <f t="shared" si="17"/>
        <v>47150</v>
      </c>
      <c r="C187" s="37">
        <f t="shared" ref="C187:C197" si="23">C186</f>
        <v>1958.80369368737</v>
      </c>
      <c r="D187" s="38">
        <f t="shared" si="19"/>
        <v>269439.08486232231</v>
      </c>
      <c r="IP187" s="1"/>
      <c r="IQ187" s="1"/>
      <c r="IR187" s="1"/>
      <c r="IS187" s="1"/>
      <c r="IT187" s="1"/>
      <c r="IU187" s="1"/>
      <c r="IV187" s="1"/>
    </row>
    <row r="188" spans="1:256" s="10" customFormat="1" x14ac:dyDescent="0.2">
      <c r="A188" s="35">
        <f t="shared" si="18"/>
        <v>171</v>
      </c>
      <c r="B188" s="36">
        <f t="shared" si="17"/>
        <v>47178</v>
      </c>
      <c r="C188" s="37">
        <f t="shared" si="23"/>
        <v>1958.80369368737</v>
      </c>
      <c r="D188" s="38">
        <f t="shared" si="19"/>
        <v>271397.88855600968</v>
      </c>
      <c r="IP188" s="1"/>
      <c r="IQ188" s="1"/>
      <c r="IR188" s="1"/>
      <c r="IS188" s="1"/>
      <c r="IT188" s="1"/>
      <c r="IU188" s="1"/>
      <c r="IV188" s="1"/>
    </row>
    <row r="189" spans="1:256" s="10" customFormat="1" x14ac:dyDescent="0.2">
      <c r="A189" s="35">
        <f t="shared" si="18"/>
        <v>172</v>
      </c>
      <c r="B189" s="36">
        <f t="shared" si="17"/>
        <v>47209</v>
      </c>
      <c r="C189" s="37">
        <f t="shared" si="23"/>
        <v>1958.80369368737</v>
      </c>
      <c r="D189" s="38">
        <f t="shared" si="19"/>
        <v>273356.69224969705</v>
      </c>
      <c r="IP189" s="1"/>
      <c r="IQ189" s="1"/>
      <c r="IR189" s="1"/>
      <c r="IS189" s="1"/>
      <c r="IT189" s="1"/>
      <c r="IU189" s="1"/>
      <c r="IV189" s="1"/>
    </row>
    <row r="190" spans="1:256" s="10" customFormat="1" x14ac:dyDescent="0.2">
      <c r="A190" s="35">
        <f t="shared" si="18"/>
        <v>173</v>
      </c>
      <c r="B190" s="36">
        <f t="shared" si="17"/>
        <v>47239</v>
      </c>
      <c r="C190" s="37">
        <f t="shared" si="23"/>
        <v>1958.80369368737</v>
      </c>
      <c r="D190" s="38">
        <f t="shared" si="19"/>
        <v>275315.49594338442</v>
      </c>
      <c r="IP190" s="1"/>
      <c r="IQ190" s="1"/>
      <c r="IR190" s="1"/>
      <c r="IS190" s="1"/>
      <c r="IT190" s="1"/>
      <c r="IU190" s="1"/>
      <c r="IV190" s="1"/>
    </row>
    <row r="191" spans="1:256" s="10" customFormat="1" x14ac:dyDescent="0.2">
      <c r="A191" s="35">
        <f t="shared" si="18"/>
        <v>174</v>
      </c>
      <c r="B191" s="36">
        <f t="shared" si="17"/>
        <v>47270</v>
      </c>
      <c r="C191" s="37">
        <f t="shared" si="23"/>
        <v>1958.80369368737</v>
      </c>
      <c r="D191" s="38">
        <f t="shared" si="19"/>
        <v>277274.29963707179</v>
      </c>
      <c r="IP191" s="1"/>
      <c r="IQ191" s="1"/>
      <c r="IR191" s="1"/>
      <c r="IS191" s="1"/>
      <c r="IT191" s="1"/>
      <c r="IU191" s="1"/>
      <c r="IV191" s="1"/>
    </row>
    <row r="192" spans="1:256" s="10" customFormat="1" x14ac:dyDescent="0.2">
      <c r="A192" s="35">
        <f t="shared" si="18"/>
        <v>175</v>
      </c>
      <c r="B192" s="36">
        <f t="shared" si="17"/>
        <v>47300</v>
      </c>
      <c r="C192" s="37">
        <f t="shared" si="23"/>
        <v>1958.80369368737</v>
      </c>
      <c r="D192" s="38">
        <f t="shared" si="19"/>
        <v>279233.10333075916</v>
      </c>
      <c r="IP192" s="1"/>
      <c r="IQ192" s="1"/>
      <c r="IR192" s="1"/>
      <c r="IS192" s="1"/>
      <c r="IT192" s="1"/>
      <c r="IU192" s="1"/>
      <c r="IV192" s="1"/>
    </row>
    <row r="193" spans="1:256" s="10" customFormat="1" x14ac:dyDescent="0.2">
      <c r="A193" s="35">
        <f t="shared" si="18"/>
        <v>176</v>
      </c>
      <c r="B193" s="36">
        <f t="shared" si="17"/>
        <v>47331</v>
      </c>
      <c r="C193" s="37">
        <f t="shared" si="23"/>
        <v>1958.80369368737</v>
      </c>
      <c r="D193" s="38">
        <f t="shared" si="19"/>
        <v>281191.90702444653</v>
      </c>
      <c r="IP193" s="1"/>
      <c r="IQ193" s="1"/>
      <c r="IR193" s="1"/>
      <c r="IS193" s="1"/>
      <c r="IT193" s="1"/>
      <c r="IU193" s="1"/>
      <c r="IV193" s="1"/>
    </row>
    <row r="194" spans="1:256" s="10" customFormat="1" x14ac:dyDescent="0.2">
      <c r="A194" s="35">
        <f t="shared" si="18"/>
        <v>177</v>
      </c>
      <c r="B194" s="36">
        <f t="shared" si="17"/>
        <v>47362</v>
      </c>
      <c r="C194" s="37">
        <f t="shared" si="23"/>
        <v>1958.80369368737</v>
      </c>
      <c r="D194" s="38">
        <f t="shared" si="19"/>
        <v>283150.71071813389</v>
      </c>
      <c r="IP194" s="1"/>
      <c r="IQ194" s="1"/>
      <c r="IR194" s="1"/>
      <c r="IS194" s="1"/>
      <c r="IT194" s="1"/>
      <c r="IU194" s="1"/>
      <c r="IV194" s="1"/>
    </row>
    <row r="195" spans="1:256" s="10" customFormat="1" x14ac:dyDescent="0.2">
      <c r="A195" s="35">
        <f t="shared" si="18"/>
        <v>178</v>
      </c>
      <c r="B195" s="36">
        <f t="shared" si="17"/>
        <v>47392</v>
      </c>
      <c r="C195" s="37">
        <f t="shared" si="23"/>
        <v>1958.80369368737</v>
      </c>
      <c r="D195" s="38">
        <f t="shared" si="19"/>
        <v>285109.51441182126</v>
      </c>
      <c r="IP195" s="1"/>
      <c r="IQ195" s="1"/>
      <c r="IR195" s="1"/>
      <c r="IS195" s="1"/>
      <c r="IT195" s="1"/>
      <c r="IU195" s="1"/>
      <c r="IV195" s="1"/>
    </row>
    <row r="196" spans="1:256" s="10" customFormat="1" x14ac:dyDescent="0.2">
      <c r="A196" s="35">
        <f t="shared" si="18"/>
        <v>179</v>
      </c>
      <c r="B196" s="36">
        <f t="shared" si="17"/>
        <v>47423</v>
      </c>
      <c r="C196" s="37">
        <f t="shared" si="23"/>
        <v>1958.80369368737</v>
      </c>
      <c r="D196" s="38">
        <f t="shared" si="19"/>
        <v>287068.31810550863</v>
      </c>
      <c r="IP196" s="1"/>
      <c r="IQ196" s="1"/>
      <c r="IR196" s="1"/>
      <c r="IS196" s="1"/>
      <c r="IT196" s="1"/>
      <c r="IU196" s="1"/>
      <c r="IV196" s="1"/>
    </row>
    <row r="197" spans="1:256" s="10" customFormat="1" x14ac:dyDescent="0.2">
      <c r="A197" s="35">
        <f t="shared" si="18"/>
        <v>180</v>
      </c>
      <c r="B197" s="36">
        <f t="shared" si="17"/>
        <v>47453</v>
      </c>
      <c r="C197" s="37">
        <f t="shared" si="23"/>
        <v>1958.80369368737</v>
      </c>
      <c r="D197" s="38">
        <f t="shared" si="19"/>
        <v>289027.121799196</v>
      </c>
      <c r="IP197" s="1"/>
      <c r="IQ197" s="1"/>
      <c r="IR197" s="1"/>
      <c r="IS197" s="1"/>
      <c r="IT197" s="1"/>
      <c r="IU197" s="1"/>
      <c r="IV197" s="1"/>
    </row>
    <row r="198" spans="1:256" s="10" customFormat="1" x14ac:dyDescent="0.2">
      <c r="A198" s="35">
        <f t="shared" si="18"/>
        <v>181</v>
      </c>
      <c r="B198" s="36">
        <f t="shared" si="17"/>
        <v>47484</v>
      </c>
      <c r="C198" s="37">
        <f>C197*(1+$D$6)</f>
        <v>2017.5678044979911</v>
      </c>
      <c r="D198" s="38">
        <f t="shared" si="19"/>
        <v>291044.68960369402</v>
      </c>
      <c r="IP198" s="1"/>
      <c r="IQ198" s="1"/>
      <c r="IR198" s="1"/>
      <c r="IS198" s="1"/>
      <c r="IT198" s="1"/>
      <c r="IU198" s="1"/>
      <c r="IV198" s="1"/>
    </row>
    <row r="199" spans="1:256" s="10" customFormat="1" x14ac:dyDescent="0.2">
      <c r="A199" s="35">
        <f t="shared" si="18"/>
        <v>182</v>
      </c>
      <c r="B199" s="36">
        <f t="shared" si="17"/>
        <v>47515</v>
      </c>
      <c r="C199" s="37">
        <f t="shared" ref="C199:C209" si="24">C198</f>
        <v>2017.5678044979911</v>
      </c>
      <c r="D199" s="38">
        <f t="shared" si="19"/>
        <v>293062.25740819203</v>
      </c>
      <c r="IP199" s="1"/>
      <c r="IQ199" s="1"/>
      <c r="IR199" s="1"/>
      <c r="IS199" s="1"/>
      <c r="IT199" s="1"/>
      <c r="IU199" s="1"/>
      <c r="IV199" s="1"/>
    </row>
    <row r="200" spans="1:256" s="10" customFormat="1" x14ac:dyDescent="0.2">
      <c r="A200" s="35">
        <f t="shared" si="18"/>
        <v>183</v>
      </c>
      <c r="B200" s="36">
        <f t="shared" si="17"/>
        <v>47543</v>
      </c>
      <c r="C200" s="37">
        <f t="shared" si="24"/>
        <v>2017.5678044979911</v>
      </c>
      <c r="D200" s="38">
        <f t="shared" si="19"/>
        <v>295079.82521269005</v>
      </c>
      <c r="IP200" s="1"/>
      <c r="IQ200" s="1"/>
      <c r="IR200" s="1"/>
      <c r="IS200" s="1"/>
      <c r="IT200" s="1"/>
      <c r="IU200" s="1"/>
      <c r="IV200" s="1"/>
    </row>
    <row r="201" spans="1:256" s="10" customFormat="1" x14ac:dyDescent="0.2">
      <c r="A201" s="35">
        <f t="shared" si="18"/>
        <v>184</v>
      </c>
      <c r="B201" s="36">
        <f t="shared" si="17"/>
        <v>47574</v>
      </c>
      <c r="C201" s="37">
        <f t="shared" si="24"/>
        <v>2017.5678044979911</v>
      </c>
      <c r="D201" s="38">
        <f t="shared" si="19"/>
        <v>297097.39301718806</v>
      </c>
      <c r="IP201" s="1"/>
      <c r="IQ201" s="1"/>
      <c r="IR201" s="1"/>
      <c r="IS201" s="1"/>
      <c r="IT201" s="1"/>
      <c r="IU201" s="1"/>
      <c r="IV201" s="1"/>
    </row>
    <row r="202" spans="1:256" s="10" customFormat="1" x14ac:dyDescent="0.2">
      <c r="A202" s="35">
        <f t="shared" si="18"/>
        <v>185</v>
      </c>
      <c r="B202" s="36">
        <f t="shared" si="17"/>
        <v>47604</v>
      </c>
      <c r="C202" s="37">
        <f t="shared" si="24"/>
        <v>2017.5678044979911</v>
      </c>
      <c r="D202" s="38">
        <f t="shared" si="19"/>
        <v>299114.96082168608</v>
      </c>
      <c r="IP202" s="1"/>
      <c r="IQ202" s="1"/>
      <c r="IR202" s="1"/>
      <c r="IS202" s="1"/>
      <c r="IT202" s="1"/>
      <c r="IU202" s="1"/>
      <c r="IV202" s="1"/>
    </row>
    <row r="203" spans="1:256" s="10" customFormat="1" x14ac:dyDescent="0.2">
      <c r="A203" s="35">
        <f t="shared" si="18"/>
        <v>186</v>
      </c>
      <c r="B203" s="36">
        <f t="shared" si="17"/>
        <v>47635</v>
      </c>
      <c r="C203" s="37">
        <f t="shared" si="24"/>
        <v>2017.5678044979911</v>
      </c>
      <c r="D203" s="38">
        <f t="shared" si="19"/>
        <v>301132.5286261841</v>
      </c>
      <c r="IP203" s="1"/>
      <c r="IQ203" s="1"/>
      <c r="IR203" s="1"/>
      <c r="IS203" s="1"/>
      <c r="IT203" s="1"/>
      <c r="IU203" s="1"/>
      <c r="IV203" s="1"/>
    </row>
    <row r="204" spans="1:256" s="10" customFormat="1" x14ac:dyDescent="0.2">
      <c r="A204" s="35">
        <f t="shared" si="18"/>
        <v>187</v>
      </c>
      <c r="B204" s="36">
        <f t="shared" si="17"/>
        <v>47665</v>
      </c>
      <c r="C204" s="37">
        <f t="shared" si="24"/>
        <v>2017.5678044979911</v>
      </c>
      <c r="D204" s="38">
        <f t="shared" si="19"/>
        <v>303150.09643068211</v>
      </c>
      <c r="IP204" s="1"/>
      <c r="IQ204" s="1"/>
      <c r="IR204" s="1"/>
      <c r="IS204" s="1"/>
      <c r="IT204" s="1"/>
      <c r="IU204" s="1"/>
      <c r="IV204" s="1"/>
    </row>
    <row r="205" spans="1:256" s="10" customFormat="1" x14ac:dyDescent="0.2">
      <c r="A205" s="35">
        <f t="shared" si="18"/>
        <v>188</v>
      </c>
      <c r="B205" s="36">
        <f t="shared" si="17"/>
        <v>47696</v>
      </c>
      <c r="C205" s="37">
        <f t="shared" si="24"/>
        <v>2017.5678044979911</v>
      </c>
      <c r="D205" s="38">
        <f t="shared" si="19"/>
        <v>305167.66423518013</v>
      </c>
      <c r="IP205" s="1"/>
      <c r="IQ205" s="1"/>
      <c r="IR205" s="1"/>
      <c r="IS205" s="1"/>
      <c r="IT205" s="1"/>
      <c r="IU205" s="1"/>
      <c r="IV205" s="1"/>
    </row>
    <row r="206" spans="1:256" s="10" customFormat="1" x14ac:dyDescent="0.2">
      <c r="A206" s="35">
        <f t="shared" si="18"/>
        <v>189</v>
      </c>
      <c r="B206" s="36">
        <f t="shared" si="17"/>
        <v>47727</v>
      </c>
      <c r="C206" s="37">
        <f t="shared" si="24"/>
        <v>2017.5678044979911</v>
      </c>
      <c r="D206" s="38">
        <f t="shared" si="19"/>
        <v>307185.23203967814</v>
      </c>
      <c r="IP206" s="1"/>
      <c r="IQ206" s="1"/>
      <c r="IR206" s="1"/>
      <c r="IS206" s="1"/>
      <c r="IT206" s="1"/>
      <c r="IU206" s="1"/>
      <c r="IV206" s="1"/>
    </row>
    <row r="207" spans="1:256" s="10" customFormat="1" x14ac:dyDescent="0.2">
      <c r="A207" s="35">
        <f t="shared" si="18"/>
        <v>190</v>
      </c>
      <c r="B207" s="36">
        <f t="shared" si="17"/>
        <v>47757</v>
      </c>
      <c r="C207" s="37">
        <f t="shared" si="24"/>
        <v>2017.5678044979911</v>
      </c>
      <c r="D207" s="38">
        <f t="shared" si="19"/>
        <v>309202.79984417616</v>
      </c>
      <c r="IP207" s="1"/>
      <c r="IQ207" s="1"/>
      <c r="IR207" s="1"/>
      <c r="IS207" s="1"/>
      <c r="IT207" s="1"/>
      <c r="IU207" s="1"/>
      <c r="IV207" s="1"/>
    </row>
    <row r="208" spans="1:256" s="10" customFormat="1" x14ac:dyDescent="0.2">
      <c r="A208" s="35">
        <f t="shared" si="18"/>
        <v>191</v>
      </c>
      <c r="B208" s="36">
        <f t="shared" si="17"/>
        <v>47788</v>
      </c>
      <c r="C208" s="37">
        <f t="shared" si="24"/>
        <v>2017.5678044979911</v>
      </c>
      <c r="D208" s="38">
        <f t="shared" si="19"/>
        <v>311220.36764867418</v>
      </c>
      <c r="IP208" s="1"/>
      <c r="IQ208" s="1"/>
      <c r="IR208" s="1"/>
      <c r="IS208" s="1"/>
      <c r="IT208" s="1"/>
      <c r="IU208" s="1"/>
      <c r="IV208" s="1"/>
    </row>
    <row r="209" spans="1:256" s="10" customFormat="1" x14ac:dyDescent="0.2">
      <c r="A209" s="35">
        <f t="shared" si="18"/>
        <v>192</v>
      </c>
      <c r="B209" s="36">
        <f t="shared" si="17"/>
        <v>47818</v>
      </c>
      <c r="C209" s="37">
        <f t="shared" si="24"/>
        <v>2017.5678044979911</v>
      </c>
      <c r="D209" s="38">
        <f t="shared" si="19"/>
        <v>313237.93545317219</v>
      </c>
      <c r="IP209" s="1"/>
      <c r="IQ209" s="1"/>
      <c r="IR209" s="1"/>
      <c r="IS209" s="1"/>
      <c r="IT209" s="1"/>
      <c r="IU209" s="1"/>
      <c r="IV209" s="1"/>
    </row>
    <row r="210" spans="1:256" s="10" customFormat="1" x14ac:dyDescent="0.2">
      <c r="A210" s="35">
        <f t="shared" si="18"/>
        <v>193</v>
      </c>
      <c r="B210" s="36">
        <f t="shared" ref="B210:B273" si="25">IF(Pay_Num&lt;&gt;"",DATE(YEAR(Loan_Start),MONTH(Loan_Start)+(Pay_Num)*12/Num_Pmt_Per_Year,DAY(Loan_Start)),"")</f>
        <v>47849</v>
      </c>
      <c r="C210" s="37">
        <f>C209*(1+$D$6)</f>
        <v>2078.094838632931</v>
      </c>
      <c r="D210" s="38">
        <f t="shared" si="19"/>
        <v>315316.0302918051</v>
      </c>
      <c r="IP210" s="1"/>
      <c r="IQ210" s="1"/>
      <c r="IR210" s="1"/>
      <c r="IS210" s="1"/>
      <c r="IT210" s="1"/>
      <c r="IU210" s="1"/>
      <c r="IV210" s="1"/>
    </row>
    <row r="211" spans="1:256" s="10" customFormat="1" x14ac:dyDescent="0.2">
      <c r="A211" s="35">
        <f t="shared" ref="A211:A274" si="26">IF(Values_Entered,A210+1,"")</f>
        <v>194</v>
      </c>
      <c r="B211" s="36">
        <f t="shared" si="25"/>
        <v>47880</v>
      </c>
      <c r="C211" s="37">
        <f t="shared" ref="C211:C221" si="27">C210</f>
        <v>2078.094838632931</v>
      </c>
      <c r="D211" s="38">
        <f t="shared" ref="D211:D274" si="28">D210+C211</f>
        <v>317394.12513043801</v>
      </c>
      <c r="IP211" s="1"/>
      <c r="IQ211" s="1"/>
      <c r="IR211" s="1"/>
      <c r="IS211" s="1"/>
      <c r="IT211" s="1"/>
      <c r="IU211" s="1"/>
      <c r="IV211" s="1"/>
    </row>
    <row r="212" spans="1:256" s="10" customFormat="1" x14ac:dyDescent="0.2">
      <c r="A212" s="35">
        <f t="shared" si="26"/>
        <v>195</v>
      </c>
      <c r="B212" s="36">
        <f t="shared" si="25"/>
        <v>47908</v>
      </c>
      <c r="C212" s="37">
        <f t="shared" si="27"/>
        <v>2078.094838632931</v>
      </c>
      <c r="D212" s="38">
        <f t="shared" si="28"/>
        <v>319472.21996907092</v>
      </c>
      <c r="IP212" s="1"/>
      <c r="IQ212" s="1"/>
      <c r="IR212" s="1"/>
      <c r="IS212" s="1"/>
      <c r="IT212" s="1"/>
      <c r="IU212" s="1"/>
      <c r="IV212" s="1"/>
    </row>
    <row r="213" spans="1:256" s="10" customFormat="1" x14ac:dyDescent="0.2">
      <c r="A213" s="35">
        <f t="shared" si="26"/>
        <v>196</v>
      </c>
      <c r="B213" s="36">
        <f t="shared" si="25"/>
        <v>47939</v>
      </c>
      <c r="C213" s="37">
        <f t="shared" si="27"/>
        <v>2078.094838632931</v>
      </c>
      <c r="D213" s="38">
        <f t="shared" si="28"/>
        <v>321550.31480770383</v>
      </c>
      <c r="IP213" s="1"/>
      <c r="IQ213" s="1"/>
      <c r="IR213" s="1"/>
      <c r="IS213" s="1"/>
      <c r="IT213" s="1"/>
      <c r="IU213" s="1"/>
      <c r="IV213" s="1"/>
    </row>
    <row r="214" spans="1:256" s="10" customFormat="1" x14ac:dyDescent="0.2">
      <c r="A214" s="35">
        <f t="shared" si="26"/>
        <v>197</v>
      </c>
      <c r="B214" s="36">
        <f t="shared" si="25"/>
        <v>47969</v>
      </c>
      <c r="C214" s="37">
        <f t="shared" si="27"/>
        <v>2078.094838632931</v>
      </c>
      <c r="D214" s="38">
        <f t="shared" si="28"/>
        <v>323628.40964633675</v>
      </c>
      <c r="IP214" s="1"/>
      <c r="IQ214" s="1"/>
      <c r="IR214" s="1"/>
      <c r="IS214" s="1"/>
      <c r="IT214" s="1"/>
      <c r="IU214" s="1"/>
      <c r="IV214" s="1"/>
    </row>
    <row r="215" spans="1:256" s="10" customFormat="1" x14ac:dyDescent="0.2">
      <c r="A215" s="35">
        <f t="shared" si="26"/>
        <v>198</v>
      </c>
      <c r="B215" s="36">
        <f t="shared" si="25"/>
        <v>48000</v>
      </c>
      <c r="C215" s="37">
        <f t="shared" si="27"/>
        <v>2078.094838632931</v>
      </c>
      <c r="D215" s="38">
        <f t="shared" si="28"/>
        <v>325706.50448496966</v>
      </c>
      <c r="IP215" s="1"/>
      <c r="IQ215" s="1"/>
      <c r="IR215" s="1"/>
      <c r="IS215" s="1"/>
      <c r="IT215" s="1"/>
      <c r="IU215" s="1"/>
      <c r="IV215" s="1"/>
    </row>
    <row r="216" spans="1:256" s="10" customFormat="1" x14ac:dyDescent="0.2">
      <c r="A216" s="35">
        <f t="shared" si="26"/>
        <v>199</v>
      </c>
      <c r="B216" s="36">
        <f t="shared" si="25"/>
        <v>48030</v>
      </c>
      <c r="C216" s="37">
        <f t="shared" si="27"/>
        <v>2078.094838632931</v>
      </c>
      <c r="D216" s="38">
        <f t="shared" si="28"/>
        <v>327784.59932360257</v>
      </c>
      <c r="IP216" s="1"/>
      <c r="IQ216" s="1"/>
      <c r="IR216" s="1"/>
      <c r="IS216" s="1"/>
      <c r="IT216" s="1"/>
      <c r="IU216" s="1"/>
      <c r="IV216" s="1"/>
    </row>
    <row r="217" spans="1:256" s="10" customFormat="1" x14ac:dyDescent="0.2">
      <c r="A217" s="35">
        <f t="shared" si="26"/>
        <v>200</v>
      </c>
      <c r="B217" s="36">
        <f t="shared" si="25"/>
        <v>48061</v>
      </c>
      <c r="C217" s="37">
        <f t="shared" si="27"/>
        <v>2078.094838632931</v>
      </c>
      <c r="D217" s="38">
        <f t="shared" si="28"/>
        <v>329862.69416223548</v>
      </c>
      <c r="IP217" s="1"/>
      <c r="IQ217" s="1"/>
      <c r="IR217" s="1"/>
      <c r="IS217" s="1"/>
      <c r="IT217" s="1"/>
      <c r="IU217" s="1"/>
      <c r="IV217" s="1"/>
    </row>
    <row r="218" spans="1:256" s="10" customFormat="1" x14ac:dyDescent="0.2">
      <c r="A218" s="35">
        <f t="shared" si="26"/>
        <v>201</v>
      </c>
      <c r="B218" s="36">
        <f t="shared" si="25"/>
        <v>48092</v>
      </c>
      <c r="C218" s="37">
        <f t="shared" si="27"/>
        <v>2078.094838632931</v>
      </c>
      <c r="D218" s="38">
        <f t="shared" si="28"/>
        <v>331940.78900086839</v>
      </c>
      <c r="IP218" s="1"/>
      <c r="IQ218" s="1"/>
      <c r="IR218" s="1"/>
      <c r="IS218" s="1"/>
      <c r="IT218" s="1"/>
      <c r="IU218" s="1"/>
      <c r="IV218" s="1"/>
    </row>
    <row r="219" spans="1:256" s="10" customFormat="1" x14ac:dyDescent="0.2">
      <c r="A219" s="35">
        <f t="shared" si="26"/>
        <v>202</v>
      </c>
      <c r="B219" s="36">
        <f t="shared" si="25"/>
        <v>48122</v>
      </c>
      <c r="C219" s="37">
        <f t="shared" si="27"/>
        <v>2078.094838632931</v>
      </c>
      <c r="D219" s="38">
        <f t="shared" si="28"/>
        <v>334018.8838395013</v>
      </c>
      <c r="IP219" s="1"/>
      <c r="IQ219" s="1"/>
      <c r="IR219" s="1"/>
      <c r="IS219" s="1"/>
      <c r="IT219" s="1"/>
      <c r="IU219" s="1"/>
      <c r="IV219" s="1"/>
    </row>
    <row r="220" spans="1:256" s="10" customFormat="1" x14ac:dyDescent="0.2">
      <c r="A220" s="35">
        <f t="shared" si="26"/>
        <v>203</v>
      </c>
      <c r="B220" s="36">
        <f t="shared" si="25"/>
        <v>48153</v>
      </c>
      <c r="C220" s="37">
        <f t="shared" si="27"/>
        <v>2078.094838632931</v>
      </c>
      <c r="D220" s="38">
        <f t="shared" si="28"/>
        <v>336096.97867813421</v>
      </c>
      <c r="IP220" s="1"/>
      <c r="IQ220" s="1"/>
      <c r="IR220" s="1"/>
      <c r="IS220" s="1"/>
      <c r="IT220" s="1"/>
      <c r="IU220" s="1"/>
      <c r="IV220" s="1"/>
    </row>
    <row r="221" spans="1:256" s="10" customFormat="1" x14ac:dyDescent="0.2">
      <c r="A221" s="35">
        <f t="shared" si="26"/>
        <v>204</v>
      </c>
      <c r="B221" s="36">
        <f t="shared" si="25"/>
        <v>48183</v>
      </c>
      <c r="C221" s="37">
        <f t="shared" si="27"/>
        <v>2078.094838632931</v>
      </c>
      <c r="D221" s="38">
        <f t="shared" si="28"/>
        <v>338175.07351676712</v>
      </c>
      <c r="IP221" s="1"/>
      <c r="IQ221" s="1"/>
      <c r="IR221" s="1"/>
      <c r="IS221" s="1"/>
      <c r="IT221" s="1"/>
      <c r="IU221" s="1"/>
      <c r="IV221" s="1"/>
    </row>
    <row r="222" spans="1:256" s="10" customFormat="1" x14ac:dyDescent="0.2">
      <c r="A222" s="35">
        <f t="shared" si="26"/>
        <v>205</v>
      </c>
      <c r="B222" s="36">
        <f t="shared" si="25"/>
        <v>48214</v>
      </c>
      <c r="C222" s="37">
        <f>C221*(1+$D$6)</f>
        <v>2140.437683791919</v>
      </c>
      <c r="D222" s="38">
        <f t="shared" si="28"/>
        <v>340315.51120055903</v>
      </c>
      <c r="IP222" s="1"/>
      <c r="IQ222" s="1"/>
      <c r="IR222" s="1"/>
      <c r="IS222" s="1"/>
      <c r="IT222" s="1"/>
      <c r="IU222" s="1"/>
      <c r="IV222" s="1"/>
    </row>
    <row r="223" spans="1:256" s="10" customFormat="1" x14ac:dyDescent="0.2">
      <c r="A223" s="35">
        <f t="shared" si="26"/>
        <v>206</v>
      </c>
      <c r="B223" s="36">
        <f t="shared" si="25"/>
        <v>48245</v>
      </c>
      <c r="C223" s="37">
        <f t="shared" ref="C223:C233" si="29">C222</f>
        <v>2140.437683791919</v>
      </c>
      <c r="D223" s="38">
        <f t="shared" si="28"/>
        <v>342455.94888435095</v>
      </c>
      <c r="IP223" s="1"/>
      <c r="IQ223" s="1"/>
      <c r="IR223" s="1"/>
      <c r="IS223" s="1"/>
      <c r="IT223" s="1"/>
      <c r="IU223" s="1"/>
      <c r="IV223" s="1"/>
    </row>
    <row r="224" spans="1:256" s="10" customFormat="1" x14ac:dyDescent="0.2">
      <c r="A224" s="35">
        <f t="shared" si="26"/>
        <v>207</v>
      </c>
      <c r="B224" s="36">
        <f t="shared" si="25"/>
        <v>48274</v>
      </c>
      <c r="C224" s="37">
        <f t="shared" si="29"/>
        <v>2140.437683791919</v>
      </c>
      <c r="D224" s="38">
        <f t="shared" si="28"/>
        <v>344596.38656814286</v>
      </c>
      <c r="IP224" s="1"/>
      <c r="IQ224" s="1"/>
      <c r="IR224" s="1"/>
      <c r="IS224" s="1"/>
      <c r="IT224" s="1"/>
      <c r="IU224" s="1"/>
      <c r="IV224" s="1"/>
    </row>
    <row r="225" spans="1:256" s="10" customFormat="1" x14ac:dyDescent="0.2">
      <c r="A225" s="35">
        <f t="shared" si="26"/>
        <v>208</v>
      </c>
      <c r="B225" s="36">
        <f t="shared" si="25"/>
        <v>48305</v>
      </c>
      <c r="C225" s="37">
        <f t="shared" si="29"/>
        <v>2140.437683791919</v>
      </c>
      <c r="D225" s="38">
        <f t="shared" si="28"/>
        <v>346736.82425193477</v>
      </c>
      <c r="IP225" s="1"/>
      <c r="IQ225" s="1"/>
      <c r="IR225" s="1"/>
      <c r="IS225" s="1"/>
      <c r="IT225" s="1"/>
      <c r="IU225" s="1"/>
      <c r="IV225" s="1"/>
    </row>
    <row r="226" spans="1:256" s="10" customFormat="1" x14ac:dyDescent="0.2">
      <c r="A226" s="35">
        <f t="shared" si="26"/>
        <v>209</v>
      </c>
      <c r="B226" s="36">
        <f t="shared" si="25"/>
        <v>48335</v>
      </c>
      <c r="C226" s="37">
        <f t="shared" si="29"/>
        <v>2140.437683791919</v>
      </c>
      <c r="D226" s="38">
        <f t="shared" si="28"/>
        <v>348877.26193572668</v>
      </c>
      <c r="IP226" s="1"/>
      <c r="IQ226" s="1"/>
      <c r="IR226" s="1"/>
      <c r="IS226" s="1"/>
      <c r="IT226" s="1"/>
      <c r="IU226" s="1"/>
      <c r="IV226" s="1"/>
    </row>
    <row r="227" spans="1:256" s="10" customFormat="1" x14ac:dyDescent="0.2">
      <c r="A227" s="35">
        <f t="shared" si="26"/>
        <v>210</v>
      </c>
      <c r="B227" s="36">
        <f t="shared" si="25"/>
        <v>48366</v>
      </c>
      <c r="C227" s="37">
        <f t="shared" si="29"/>
        <v>2140.437683791919</v>
      </c>
      <c r="D227" s="38">
        <f t="shared" si="28"/>
        <v>351017.69961951859</v>
      </c>
      <c r="IP227" s="1"/>
      <c r="IQ227" s="1"/>
      <c r="IR227" s="1"/>
      <c r="IS227" s="1"/>
      <c r="IT227" s="1"/>
      <c r="IU227" s="1"/>
      <c r="IV227" s="1"/>
    </row>
    <row r="228" spans="1:256" s="10" customFormat="1" x14ac:dyDescent="0.2">
      <c r="A228" s="35">
        <f t="shared" si="26"/>
        <v>211</v>
      </c>
      <c r="B228" s="36">
        <f t="shared" si="25"/>
        <v>48396</v>
      </c>
      <c r="C228" s="37">
        <f t="shared" si="29"/>
        <v>2140.437683791919</v>
      </c>
      <c r="D228" s="38">
        <f t="shared" si="28"/>
        <v>353158.1373033105</v>
      </c>
      <c r="IP228" s="1"/>
      <c r="IQ228" s="1"/>
      <c r="IR228" s="1"/>
      <c r="IS228" s="1"/>
      <c r="IT228" s="1"/>
      <c r="IU228" s="1"/>
      <c r="IV228" s="1"/>
    </row>
    <row r="229" spans="1:256" s="10" customFormat="1" x14ac:dyDescent="0.2">
      <c r="A229" s="35">
        <f t="shared" si="26"/>
        <v>212</v>
      </c>
      <c r="B229" s="36">
        <f t="shared" si="25"/>
        <v>48427</v>
      </c>
      <c r="C229" s="37">
        <f t="shared" si="29"/>
        <v>2140.437683791919</v>
      </c>
      <c r="D229" s="38">
        <f t="shared" si="28"/>
        <v>355298.57498710242</v>
      </c>
      <c r="IP229" s="1"/>
      <c r="IQ229" s="1"/>
      <c r="IR229" s="1"/>
      <c r="IS229" s="1"/>
      <c r="IT229" s="1"/>
      <c r="IU229" s="1"/>
      <c r="IV229" s="1"/>
    </row>
    <row r="230" spans="1:256" s="10" customFormat="1" x14ac:dyDescent="0.2">
      <c r="A230" s="35">
        <f t="shared" si="26"/>
        <v>213</v>
      </c>
      <c r="B230" s="36">
        <f t="shared" si="25"/>
        <v>48458</v>
      </c>
      <c r="C230" s="37">
        <f t="shared" si="29"/>
        <v>2140.437683791919</v>
      </c>
      <c r="D230" s="38">
        <f t="shared" si="28"/>
        <v>357439.01267089433</v>
      </c>
      <c r="IP230" s="1"/>
      <c r="IQ230" s="1"/>
      <c r="IR230" s="1"/>
      <c r="IS230" s="1"/>
      <c r="IT230" s="1"/>
      <c r="IU230" s="1"/>
      <c r="IV230" s="1"/>
    </row>
    <row r="231" spans="1:256" s="10" customFormat="1" x14ac:dyDescent="0.2">
      <c r="A231" s="35">
        <f t="shared" si="26"/>
        <v>214</v>
      </c>
      <c r="B231" s="36">
        <f t="shared" si="25"/>
        <v>48488</v>
      </c>
      <c r="C231" s="37">
        <f t="shared" si="29"/>
        <v>2140.437683791919</v>
      </c>
      <c r="D231" s="38">
        <f t="shared" si="28"/>
        <v>359579.45035468624</v>
      </c>
      <c r="IP231" s="1"/>
      <c r="IQ231" s="1"/>
      <c r="IR231" s="1"/>
      <c r="IS231" s="1"/>
      <c r="IT231" s="1"/>
      <c r="IU231" s="1"/>
      <c r="IV231" s="1"/>
    </row>
    <row r="232" spans="1:256" s="10" customFormat="1" x14ac:dyDescent="0.2">
      <c r="A232" s="35">
        <f t="shared" si="26"/>
        <v>215</v>
      </c>
      <c r="B232" s="36">
        <f t="shared" si="25"/>
        <v>48519</v>
      </c>
      <c r="C232" s="37">
        <f t="shared" si="29"/>
        <v>2140.437683791919</v>
      </c>
      <c r="D232" s="38">
        <f t="shared" si="28"/>
        <v>361719.88803847815</v>
      </c>
      <c r="IP232" s="1"/>
      <c r="IQ232" s="1"/>
      <c r="IR232" s="1"/>
      <c r="IS232" s="1"/>
      <c r="IT232" s="1"/>
      <c r="IU232" s="1"/>
      <c r="IV232" s="1"/>
    </row>
    <row r="233" spans="1:256" s="10" customFormat="1" x14ac:dyDescent="0.2">
      <c r="A233" s="35">
        <f t="shared" si="26"/>
        <v>216</v>
      </c>
      <c r="B233" s="36">
        <f t="shared" si="25"/>
        <v>48549</v>
      </c>
      <c r="C233" s="37">
        <f t="shared" si="29"/>
        <v>2140.437683791919</v>
      </c>
      <c r="D233" s="38">
        <f t="shared" si="28"/>
        <v>363860.32572227006</v>
      </c>
      <c r="IP233" s="1"/>
      <c r="IQ233" s="1"/>
      <c r="IR233" s="1"/>
      <c r="IS233" s="1"/>
      <c r="IT233" s="1"/>
      <c r="IU233" s="1"/>
      <c r="IV233" s="1"/>
    </row>
    <row r="234" spans="1:256" s="10" customFormat="1" x14ac:dyDescent="0.2">
      <c r="A234" s="35">
        <f t="shared" si="26"/>
        <v>217</v>
      </c>
      <c r="B234" s="36">
        <f t="shared" si="25"/>
        <v>48580</v>
      </c>
      <c r="C234" s="37">
        <f>C233*(1+$D$6)</f>
        <v>2204.6508143056767</v>
      </c>
      <c r="D234" s="38">
        <f t="shared" si="28"/>
        <v>366064.97653657576</v>
      </c>
      <c r="IP234" s="1"/>
      <c r="IQ234" s="1"/>
      <c r="IR234" s="1"/>
      <c r="IS234" s="1"/>
      <c r="IT234" s="1"/>
      <c r="IU234" s="1"/>
      <c r="IV234" s="1"/>
    </row>
    <row r="235" spans="1:256" s="10" customFormat="1" x14ac:dyDescent="0.2">
      <c r="A235" s="35">
        <f t="shared" si="26"/>
        <v>218</v>
      </c>
      <c r="B235" s="36">
        <f t="shared" si="25"/>
        <v>48611</v>
      </c>
      <c r="C235" s="37">
        <f t="shared" ref="C235:C245" si="30">C234</f>
        <v>2204.6508143056767</v>
      </c>
      <c r="D235" s="38">
        <f t="shared" si="28"/>
        <v>368269.62735088146</v>
      </c>
      <c r="IP235" s="1"/>
      <c r="IQ235" s="1"/>
      <c r="IR235" s="1"/>
      <c r="IS235" s="1"/>
      <c r="IT235" s="1"/>
      <c r="IU235" s="1"/>
      <c r="IV235" s="1"/>
    </row>
    <row r="236" spans="1:256" s="10" customFormat="1" x14ac:dyDescent="0.2">
      <c r="A236" s="35">
        <f t="shared" si="26"/>
        <v>219</v>
      </c>
      <c r="B236" s="36">
        <f t="shared" si="25"/>
        <v>48639</v>
      </c>
      <c r="C236" s="37">
        <f t="shared" si="30"/>
        <v>2204.6508143056767</v>
      </c>
      <c r="D236" s="38">
        <f t="shared" si="28"/>
        <v>370474.27816518716</v>
      </c>
      <c r="IP236" s="1"/>
      <c r="IQ236" s="1"/>
      <c r="IR236" s="1"/>
      <c r="IS236" s="1"/>
      <c r="IT236" s="1"/>
      <c r="IU236" s="1"/>
      <c r="IV236" s="1"/>
    </row>
    <row r="237" spans="1:256" s="10" customFormat="1" x14ac:dyDescent="0.2">
      <c r="A237" s="35">
        <f t="shared" si="26"/>
        <v>220</v>
      </c>
      <c r="B237" s="36">
        <f t="shared" si="25"/>
        <v>48670</v>
      </c>
      <c r="C237" s="37">
        <f t="shared" si="30"/>
        <v>2204.6508143056767</v>
      </c>
      <c r="D237" s="38">
        <f t="shared" si="28"/>
        <v>372678.92897949286</v>
      </c>
      <c r="IP237" s="1"/>
      <c r="IQ237" s="1"/>
      <c r="IR237" s="1"/>
      <c r="IS237" s="1"/>
      <c r="IT237" s="1"/>
      <c r="IU237" s="1"/>
      <c r="IV237" s="1"/>
    </row>
    <row r="238" spans="1:256" s="10" customFormat="1" x14ac:dyDescent="0.2">
      <c r="A238" s="35">
        <f t="shared" si="26"/>
        <v>221</v>
      </c>
      <c r="B238" s="36">
        <f t="shared" si="25"/>
        <v>48700</v>
      </c>
      <c r="C238" s="37">
        <f t="shared" si="30"/>
        <v>2204.6508143056767</v>
      </c>
      <c r="D238" s="38">
        <f t="shared" si="28"/>
        <v>374883.57979379856</v>
      </c>
      <c r="IP238" s="1"/>
      <c r="IQ238" s="1"/>
      <c r="IR238" s="1"/>
      <c r="IS238" s="1"/>
      <c r="IT238" s="1"/>
      <c r="IU238" s="1"/>
      <c r="IV238" s="1"/>
    </row>
    <row r="239" spans="1:256" s="10" customFormat="1" x14ac:dyDescent="0.2">
      <c r="A239" s="35">
        <f t="shared" si="26"/>
        <v>222</v>
      </c>
      <c r="B239" s="36">
        <f t="shared" si="25"/>
        <v>48731</v>
      </c>
      <c r="C239" s="37">
        <f t="shared" si="30"/>
        <v>2204.6508143056767</v>
      </c>
      <c r="D239" s="38">
        <f t="shared" si="28"/>
        <v>377088.23060810426</v>
      </c>
      <c r="IP239" s="1"/>
      <c r="IQ239" s="1"/>
      <c r="IR239" s="1"/>
      <c r="IS239" s="1"/>
      <c r="IT239" s="1"/>
      <c r="IU239" s="1"/>
      <c r="IV239" s="1"/>
    </row>
    <row r="240" spans="1:256" s="10" customFormat="1" x14ac:dyDescent="0.2">
      <c r="A240" s="35">
        <f t="shared" si="26"/>
        <v>223</v>
      </c>
      <c r="B240" s="36">
        <f t="shared" si="25"/>
        <v>48761</v>
      </c>
      <c r="C240" s="37">
        <f t="shared" si="30"/>
        <v>2204.6508143056767</v>
      </c>
      <c r="D240" s="38">
        <f t="shared" si="28"/>
        <v>379292.88142240996</v>
      </c>
      <c r="IP240" s="1"/>
      <c r="IQ240" s="1"/>
      <c r="IR240" s="1"/>
      <c r="IS240" s="1"/>
      <c r="IT240" s="1"/>
      <c r="IU240" s="1"/>
      <c r="IV240" s="1"/>
    </row>
    <row r="241" spans="1:256" s="10" customFormat="1" x14ac:dyDescent="0.2">
      <c r="A241" s="35">
        <f t="shared" si="26"/>
        <v>224</v>
      </c>
      <c r="B241" s="36">
        <f t="shared" si="25"/>
        <v>48792</v>
      </c>
      <c r="C241" s="37">
        <f t="shared" si="30"/>
        <v>2204.6508143056767</v>
      </c>
      <c r="D241" s="38">
        <f t="shared" si="28"/>
        <v>381497.53223671566</v>
      </c>
      <c r="IP241" s="1"/>
      <c r="IQ241" s="1"/>
      <c r="IR241" s="1"/>
      <c r="IS241" s="1"/>
      <c r="IT241" s="1"/>
      <c r="IU241" s="1"/>
      <c r="IV241" s="1"/>
    </row>
    <row r="242" spans="1:256" s="10" customFormat="1" x14ac:dyDescent="0.2">
      <c r="A242" s="35">
        <f t="shared" si="26"/>
        <v>225</v>
      </c>
      <c r="B242" s="36">
        <f t="shared" si="25"/>
        <v>48823</v>
      </c>
      <c r="C242" s="37">
        <f t="shared" si="30"/>
        <v>2204.6508143056767</v>
      </c>
      <c r="D242" s="38">
        <f t="shared" si="28"/>
        <v>383702.18305102136</v>
      </c>
      <c r="IP242" s="1"/>
      <c r="IQ242" s="1"/>
      <c r="IR242" s="1"/>
      <c r="IS242" s="1"/>
      <c r="IT242" s="1"/>
      <c r="IU242" s="1"/>
      <c r="IV242" s="1"/>
    </row>
    <row r="243" spans="1:256" s="10" customFormat="1" x14ac:dyDescent="0.2">
      <c r="A243" s="35">
        <f t="shared" si="26"/>
        <v>226</v>
      </c>
      <c r="B243" s="36">
        <f t="shared" si="25"/>
        <v>48853</v>
      </c>
      <c r="C243" s="37">
        <f t="shared" si="30"/>
        <v>2204.6508143056767</v>
      </c>
      <c r="D243" s="38">
        <f t="shared" si="28"/>
        <v>385906.83386532706</v>
      </c>
      <c r="IP243" s="1"/>
      <c r="IQ243" s="1"/>
      <c r="IR243" s="1"/>
      <c r="IS243" s="1"/>
      <c r="IT243" s="1"/>
      <c r="IU243" s="1"/>
      <c r="IV243" s="1"/>
    </row>
    <row r="244" spans="1:256" s="10" customFormat="1" x14ac:dyDescent="0.2">
      <c r="A244" s="35">
        <f t="shared" si="26"/>
        <v>227</v>
      </c>
      <c r="B244" s="36">
        <f t="shared" si="25"/>
        <v>48884</v>
      </c>
      <c r="C244" s="37">
        <f t="shared" si="30"/>
        <v>2204.6508143056767</v>
      </c>
      <c r="D244" s="38">
        <f t="shared" si="28"/>
        <v>388111.48467963276</v>
      </c>
      <c r="IP244" s="1"/>
      <c r="IQ244" s="1"/>
      <c r="IR244" s="1"/>
      <c r="IS244" s="1"/>
      <c r="IT244" s="1"/>
      <c r="IU244" s="1"/>
      <c r="IV244" s="1"/>
    </row>
    <row r="245" spans="1:256" s="10" customFormat="1" x14ac:dyDescent="0.2">
      <c r="A245" s="35">
        <f t="shared" si="26"/>
        <v>228</v>
      </c>
      <c r="B245" s="36">
        <f t="shared" si="25"/>
        <v>48914</v>
      </c>
      <c r="C245" s="37">
        <f t="shared" si="30"/>
        <v>2204.6508143056767</v>
      </c>
      <c r="D245" s="38">
        <f t="shared" si="28"/>
        <v>390316.13549393846</v>
      </c>
      <c r="IP245" s="1"/>
      <c r="IQ245" s="1"/>
      <c r="IR245" s="1"/>
      <c r="IS245" s="1"/>
      <c r="IT245" s="1"/>
      <c r="IU245" s="1"/>
      <c r="IV245" s="1"/>
    </row>
    <row r="246" spans="1:256" s="10" customFormat="1" x14ac:dyDescent="0.2">
      <c r="A246" s="35">
        <f t="shared" si="26"/>
        <v>229</v>
      </c>
      <c r="B246" s="36">
        <f t="shared" si="25"/>
        <v>48945</v>
      </c>
      <c r="C246" s="37">
        <f>C245*(1+$D$6)</f>
        <v>2270.790338734847</v>
      </c>
      <c r="D246" s="38">
        <f t="shared" si="28"/>
        <v>392586.92583267333</v>
      </c>
      <c r="IP246" s="1"/>
      <c r="IQ246" s="1"/>
      <c r="IR246" s="1"/>
      <c r="IS246" s="1"/>
      <c r="IT246" s="1"/>
      <c r="IU246" s="1"/>
      <c r="IV246" s="1"/>
    </row>
    <row r="247" spans="1:256" s="10" customFormat="1" x14ac:dyDescent="0.2">
      <c r="A247" s="35">
        <f t="shared" si="26"/>
        <v>230</v>
      </c>
      <c r="B247" s="36">
        <f t="shared" si="25"/>
        <v>48976</v>
      </c>
      <c r="C247" s="37">
        <f t="shared" ref="C247:C257" si="31">C246</f>
        <v>2270.790338734847</v>
      </c>
      <c r="D247" s="38">
        <f t="shared" si="28"/>
        <v>394857.71617140819</v>
      </c>
      <c r="IP247" s="1"/>
      <c r="IQ247" s="1"/>
      <c r="IR247" s="1"/>
      <c r="IS247" s="1"/>
      <c r="IT247" s="1"/>
      <c r="IU247" s="1"/>
      <c r="IV247" s="1"/>
    </row>
    <row r="248" spans="1:256" s="10" customFormat="1" x14ac:dyDescent="0.2">
      <c r="A248" s="35">
        <f t="shared" si="26"/>
        <v>231</v>
      </c>
      <c r="B248" s="36">
        <f t="shared" si="25"/>
        <v>49004</v>
      </c>
      <c r="C248" s="37">
        <f t="shared" si="31"/>
        <v>2270.790338734847</v>
      </c>
      <c r="D248" s="38">
        <f t="shared" si="28"/>
        <v>397128.50651014305</v>
      </c>
      <c r="IP248" s="1"/>
      <c r="IQ248" s="1"/>
      <c r="IR248" s="1"/>
      <c r="IS248" s="1"/>
      <c r="IT248" s="1"/>
      <c r="IU248" s="1"/>
      <c r="IV248" s="1"/>
    </row>
    <row r="249" spans="1:256" s="10" customFormat="1" x14ac:dyDescent="0.2">
      <c r="A249" s="35">
        <f t="shared" si="26"/>
        <v>232</v>
      </c>
      <c r="B249" s="36">
        <f t="shared" si="25"/>
        <v>49035</v>
      </c>
      <c r="C249" s="37">
        <f t="shared" si="31"/>
        <v>2270.790338734847</v>
      </c>
      <c r="D249" s="38">
        <f t="shared" si="28"/>
        <v>399399.29684887792</v>
      </c>
      <c r="IP249" s="1"/>
      <c r="IQ249" s="1"/>
      <c r="IR249" s="1"/>
      <c r="IS249" s="1"/>
      <c r="IT249" s="1"/>
      <c r="IU249" s="1"/>
      <c r="IV249" s="1"/>
    </row>
    <row r="250" spans="1:256" s="10" customFormat="1" x14ac:dyDescent="0.2">
      <c r="A250" s="35">
        <f t="shared" si="26"/>
        <v>233</v>
      </c>
      <c r="B250" s="36">
        <f t="shared" si="25"/>
        <v>49065</v>
      </c>
      <c r="C250" s="37">
        <f t="shared" si="31"/>
        <v>2270.790338734847</v>
      </c>
      <c r="D250" s="38">
        <f t="shared" si="28"/>
        <v>401670.08718761278</v>
      </c>
      <c r="IP250" s="1"/>
      <c r="IQ250" s="1"/>
      <c r="IR250" s="1"/>
      <c r="IS250" s="1"/>
      <c r="IT250" s="1"/>
      <c r="IU250" s="1"/>
      <c r="IV250" s="1"/>
    </row>
    <row r="251" spans="1:256" s="10" customFormat="1" x14ac:dyDescent="0.2">
      <c r="A251" s="35">
        <f t="shared" si="26"/>
        <v>234</v>
      </c>
      <c r="B251" s="36">
        <f t="shared" si="25"/>
        <v>49096</v>
      </c>
      <c r="C251" s="37">
        <f t="shared" si="31"/>
        <v>2270.790338734847</v>
      </c>
      <c r="D251" s="38">
        <f t="shared" si="28"/>
        <v>403940.87752634764</v>
      </c>
      <c r="IP251" s="1"/>
      <c r="IQ251" s="1"/>
      <c r="IR251" s="1"/>
      <c r="IS251" s="1"/>
      <c r="IT251" s="1"/>
      <c r="IU251" s="1"/>
      <c r="IV251" s="1"/>
    </row>
    <row r="252" spans="1:256" s="10" customFormat="1" x14ac:dyDescent="0.2">
      <c r="A252" s="35">
        <f t="shared" si="26"/>
        <v>235</v>
      </c>
      <c r="B252" s="36">
        <f t="shared" si="25"/>
        <v>49126</v>
      </c>
      <c r="C252" s="37">
        <f t="shared" si="31"/>
        <v>2270.790338734847</v>
      </c>
      <c r="D252" s="38">
        <f t="shared" si="28"/>
        <v>406211.66786508251</v>
      </c>
      <c r="IP252" s="1"/>
      <c r="IQ252" s="1"/>
      <c r="IR252" s="1"/>
      <c r="IS252" s="1"/>
      <c r="IT252" s="1"/>
      <c r="IU252" s="1"/>
      <c r="IV252" s="1"/>
    </row>
    <row r="253" spans="1:256" s="10" customFormat="1" x14ac:dyDescent="0.2">
      <c r="A253" s="35">
        <f t="shared" si="26"/>
        <v>236</v>
      </c>
      <c r="B253" s="36">
        <f t="shared" si="25"/>
        <v>49157</v>
      </c>
      <c r="C253" s="37">
        <f t="shared" si="31"/>
        <v>2270.790338734847</v>
      </c>
      <c r="D253" s="38">
        <f t="shared" si="28"/>
        <v>408482.45820381737</v>
      </c>
      <c r="IP253" s="1"/>
      <c r="IQ253" s="1"/>
      <c r="IR253" s="1"/>
      <c r="IS253" s="1"/>
      <c r="IT253" s="1"/>
      <c r="IU253" s="1"/>
      <c r="IV253" s="1"/>
    </row>
    <row r="254" spans="1:256" s="10" customFormat="1" x14ac:dyDescent="0.2">
      <c r="A254" s="35">
        <f t="shared" si="26"/>
        <v>237</v>
      </c>
      <c r="B254" s="36">
        <f t="shared" si="25"/>
        <v>49188</v>
      </c>
      <c r="C254" s="37">
        <f t="shared" si="31"/>
        <v>2270.790338734847</v>
      </c>
      <c r="D254" s="38">
        <f t="shared" si="28"/>
        <v>410753.24854255223</v>
      </c>
      <c r="IP254" s="1"/>
      <c r="IQ254" s="1"/>
      <c r="IR254" s="1"/>
      <c r="IS254" s="1"/>
      <c r="IT254" s="1"/>
      <c r="IU254" s="1"/>
      <c r="IV254" s="1"/>
    </row>
    <row r="255" spans="1:256" s="10" customFormat="1" x14ac:dyDescent="0.2">
      <c r="A255" s="35">
        <f t="shared" si="26"/>
        <v>238</v>
      </c>
      <c r="B255" s="36">
        <f t="shared" si="25"/>
        <v>49218</v>
      </c>
      <c r="C255" s="37">
        <f t="shared" si="31"/>
        <v>2270.790338734847</v>
      </c>
      <c r="D255" s="38">
        <f t="shared" si="28"/>
        <v>413024.0388812871</v>
      </c>
      <c r="IP255" s="1"/>
      <c r="IQ255" s="1"/>
      <c r="IR255" s="1"/>
      <c r="IS255" s="1"/>
      <c r="IT255" s="1"/>
      <c r="IU255" s="1"/>
      <c r="IV255" s="1"/>
    </row>
    <row r="256" spans="1:256" s="10" customFormat="1" x14ac:dyDescent="0.2">
      <c r="A256" s="35">
        <f t="shared" si="26"/>
        <v>239</v>
      </c>
      <c r="B256" s="36">
        <f t="shared" si="25"/>
        <v>49249</v>
      </c>
      <c r="C256" s="37">
        <f t="shared" si="31"/>
        <v>2270.790338734847</v>
      </c>
      <c r="D256" s="38">
        <f t="shared" si="28"/>
        <v>415294.82922002196</v>
      </c>
      <c r="IP256" s="1"/>
      <c r="IQ256" s="1"/>
      <c r="IR256" s="1"/>
      <c r="IS256" s="1"/>
      <c r="IT256" s="1"/>
      <c r="IU256" s="1"/>
      <c r="IV256" s="1"/>
    </row>
    <row r="257" spans="1:256" s="10" customFormat="1" x14ac:dyDescent="0.2">
      <c r="A257" s="35">
        <f t="shared" si="26"/>
        <v>240</v>
      </c>
      <c r="B257" s="36">
        <f t="shared" si="25"/>
        <v>49279</v>
      </c>
      <c r="C257" s="37">
        <f t="shared" si="31"/>
        <v>2270.790338734847</v>
      </c>
      <c r="D257" s="38">
        <f t="shared" si="28"/>
        <v>417565.61955875682</v>
      </c>
      <c r="IP257" s="1"/>
      <c r="IQ257" s="1"/>
      <c r="IR257" s="1"/>
      <c r="IS257" s="1"/>
      <c r="IT257" s="1"/>
      <c r="IU257" s="1"/>
      <c r="IV257" s="1"/>
    </row>
    <row r="258" spans="1:256" s="10" customFormat="1" x14ac:dyDescent="0.2">
      <c r="A258" s="35">
        <f t="shared" si="26"/>
        <v>241</v>
      </c>
      <c r="B258" s="36">
        <f t="shared" si="25"/>
        <v>49310</v>
      </c>
      <c r="C258" s="37">
        <f>C257*(1+$D$6)</f>
        <v>2338.9140488968924</v>
      </c>
      <c r="D258" s="38">
        <f t="shared" si="28"/>
        <v>419904.53360765369</v>
      </c>
      <c r="IP258" s="1"/>
      <c r="IQ258" s="1"/>
      <c r="IR258" s="1"/>
      <c r="IS258" s="1"/>
      <c r="IT258" s="1"/>
      <c r="IU258" s="1"/>
      <c r="IV258" s="1"/>
    </row>
    <row r="259" spans="1:256" s="10" customFormat="1" x14ac:dyDescent="0.2">
      <c r="A259" s="35">
        <f t="shared" si="26"/>
        <v>242</v>
      </c>
      <c r="B259" s="36">
        <f t="shared" si="25"/>
        <v>49341</v>
      </c>
      <c r="C259" s="37">
        <f t="shared" ref="C259:C269" si="32">C258</f>
        <v>2338.9140488968924</v>
      </c>
      <c r="D259" s="38">
        <f t="shared" si="28"/>
        <v>422243.44765655056</v>
      </c>
      <c r="IP259" s="1"/>
      <c r="IQ259" s="1"/>
      <c r="IR259" s="1"/>
      <c r="IS259" s="1"/>
      <c r="IT259" s="1"/>
      <c r="IU259" s="1"/>
      <c r="IV259" s="1"/>
    </row>
    <row r="260" spans="1:256" s="10" customFormat="1" x14ac:dyDescent="0.2">
      <c r="A260" s="35">
        <f t="shared" si="26"/>
        <v>243</v>
      </c>
      <c r="B260" s="36">
        <f t="shared" si="25"/>
        <v>49369</v>
      </c>
      <c r="C260" s="37">
        <f t="shared" si="32"/>
        <v>2338.9140488968924</v>
      </c>
      <c r="D260" s="38">
        <f t="shared" si="28"/>
        <v>424582.36170544743</v>
      </c>
      <c r="IP260" s="1"/>
      <c r="IQ260" s="1"/>
      <c r="IR260" s="1"/>
      <c r="IS260" s="1"/>
      <c r="IT260" s="1"/>
      <c r="IU260" s="1"/>
      <c r="IV260" s="1"/>
    </row>
    <row r="261" spans="1:256" s="10" customFormat="1" x14ac:dyDescent="0.2">
      <c r="A261" s="35">
        <f t="shared" si="26"/>
        <v>244</v>
      </c>
      <c r="B261" s="36">
        <f t="shared" si="25"/>
        <v>49400</v>
      </c>
      <c r="C261" s="37">
        <f t="shared" si="32"/>
        <v>2338.9140488968924</v>
      </c>
      <c r="D261" s="38">
        <f t="shared" si="28"/>
        <v>426921.2757543443</v>
      </c>
      <c r="IP261" s="1"/>
      <c r="IQ261" s="1"/>
      <c r="IR261" s="1"/>
      <c r="IS261" s="1"/>
      <c r="IT261" s="1"/>
      <c r="IU261" s="1"/>
      <c r="IV261" s="1"/>
    </row>
    <row r="262" spans="1:256" s="10" customFormat="1" x14ac:dyDescent="0.2">
      <c r="A262" s="35">
        <f t="shared" si="26"/>
        <v>245</v>
      </c>
      <c r="B262" s="36">
        <f t="shared" si="25"/>
        <v>49430</v>
      </c>
      <c r="C262" s="37">
        <f t="shared" si="32"/>
        <v>2338.9140488968924</v>
      </c>
      <c r="D262" s="38">
        <f t="shared" si="28"/>
        <v>429260.18980324117</v>
      </c>
      <c r="IP262" s="1"/>
      <c r="IQ262" s="1"/>
      <c r="IR262" s="1"/>
      <c r="IS262" s="1"/>
      <c r="IT262" s="1"/>
      <c r="IU262" s="1"/>
      <c r="IV262" s="1"/>
    </row>
    <row r="263" spans="1:256" s="10" customFormat="1" x14ac:dyDescent="0.2">
      <c r="A263" s="35">
        <f t="shared" si="26"/>
        <v>246</v>
      </c>
      <c r="B263" s="36">
        <f t="shared" si="25"/>
        <v>49461</v>
      </c>
      <c r="C263" s="37">
        <f t="shared" si="32"/>
        <v>2338.9140488968924</v>
      </c>
      <c r="D263" s="38">
        <f t="shared" si="28"/>
        <v>431599.10385213804</v>
      </c>
      <c r="IP263" s="1"/>
      <c r="IQ263" s="1"/>
      <c r="IR263" s="1"/>
      <c r="IS263" s="1"/>
      <c r="IT263" s="1"/>
      <c r="IU263" s="1"/>
      <c r="IV263" s="1"/>
    </row>
    <row r="264" spans="1:256" s="10" customFormat="1" x14ac:dyDescent="0.2">
      <c r="A264" s="35">
        <f t="shared" si="26"/>
        <v>247</v>
      </c>
      <c r="B264" s="36">
        <f t="shared" si="25"/>
        <v>49491</v>
      </c>
      <c r="C264" s="37">
        <f t="shared" si="32"/>
        <v>2338.9140488968924</v>
      </c>
      <c r="D264" s="38">
        <f t="shared" si="28"/>
        <v>433938.01790103491</v>
      </c>
      <c r="IP264" s="1"/>
      <c r="IQ264" s="1"/>
      <c r="IR264" s="1"/>
      <c r="IS264" s="1"/>
      <c r="IT264" s="1"/>
      <c r="IU264" s="1"/>
      <c r="IV264" s="1"/>
    </row>
    <row r="265" spans="1:256" s="10" customFormat="1" x14ac:dyDescent="0.2">
      <c r="A265" s="35">
        <f t="shared" si="26"/>
        <v>248</v>
      </c>
      <c r="B265" s="36">
        <f t="shared" si="25"/>
        <v>49522</v>
      </c>
      <c r="C265" s="37">
        <f t="shared" si="32"/>
        <v>2338.9140488968924</v>
      </c>
      <c r="D265" s="38">
        <f t="shared" si="28"/>
        <v>436276.93194993178</v>
      </c>
      <c r="IP265" s="1"/>
      <c r="IQ265" s="1"/>
      <c r="IR265" s="1"/>
      <c r="IS265" s="1"/>
      <c r="IT265" s="1"/>
      <c r="IU265" s="1"/>
      <c r="IV265" s="1"/>
    </row>
    <row r="266" spans="1:256" s="10" customFormat="1" x14ac:dyDescent="0.2">
      <c r="A266" s="35">
        <f t="shared" si="26"/>
        <v>249</v>
      </c>
      <c r="B266" s="36">
        <f t="shared" si="25"/>
        <v>49553</v>
      </c>
      <c r="C266" s="37">
        <f t="shared" si="32"/>
        <v>2338.9140488968924</v>
      </c>
      <c r="D266" s="38">
        <f t="shared" si="28"/>
        <v>438615.84599882865</v>
      </c>
      <c r="IP266" s="1"/>
      <c r="IQ266" s="1"/>
      <c r="IR266" s="1"/>
      <c r="IS266" s="1"/>
      <c r="IT266" s="1"/>
      <c r="IU266" s="1"/>
      <c r="IV266" s="1"/>
    </row>
    <row r="267" spans="1:256" s="10" customFormat="1" x14ac:dyDescent="0.2">
      <c r="A267" s="35">
        <f t="shared" si="26"/>
        <v>250</v>
      </c>
      <c r="B267" s="36">
        <f t="shared" si="25"/>
        <v>49583</v>
      </c>
      <c r="C267" s="37">
        <f t="shared" si="32"/>
        <v>2338.9140488968924</v>
      </c>
      <c r="D267" s="38">
        <f t="shared" si="28"/>
        <v>440954.76004772552</v>
      </c>
      <c r="IP267" s="1"/>
      <c r="IQ267" s="1"/>
      <c r="IR267" s="1"/>
      <c r="IS267" s="1"/>
      <c r="IT267" s="1"/>
      <c r="IU267" s="1"/>
      <c r="IV267" s="1"/>
    </row>
    <row r="268" spans="1:256" s="10" customFormat="1" x14ac:dyDescent="0.2">
      <c r="A268" s="35">
        <f t="shared" si="26"/>
        <v>251</v>
      </c>
      <c r="B268" s="36">
        <f t="shared" si="25"/>
        <v>49614</v>
      </c>
      <c r="C268" s="37">
        <f t="shared" si="32"/>
        <v>2338.9140488968924</v>
      </c>
      <c r="D268" s="38">
        <f t="shared" si="28"/>
        <v>443293.67409662239</v>
      </c>
      <c r="IP268" s="1"/>
      <c r="IQ268" s="1"/>
      <c r="IR268" s="1"/>
      <c r="IS268" s="1"/>
      <c r="IT268" s="1"/>
      <c r="IU268" s="1"/>
      <c r="IV268" s="1"/>
    </row>
    <row r="269" spans="1:256" s="10" customFormat="1" x14ac:dyDescent="0.2">
      <c r="A269" s="35">
        <f t="shared" si="26"/>
        <v>252</v>
      </c>
      <c r="B269" s="36">
        <f t="shared" si="25"/>
        <v>49644</v>
      </c>
      <c r="C269" s="37">
        <f t="shared" si="32"/>
        <v>2338.9140488968924</v>
      </c>
      <c r="D269" s="38">
        <f t="shared" si="28"/>
        <v>445632.58814551926</v>
      </c>
      <c r="IP269" s="1"/>
      <c r="IQ269" s="1"/>
      <c r="IR269" s="1"/>
      <c r="IS269" s="1"/>
      <c r="IT269" s="1"/>
      <c r="IU269" s="1"/>
      <c r="IV269" s="1"/>
    </row>
    <row r="270" spans="1:256" s="10" customFormat="1" x14ac:dyDescent="0.2">
      <c r="A270" s="35">
        <f t="shared" si="26"/>
        <v>253</v>
      </c>
      <c r="B270" s="36">
        <f t="shared" si="25"/>
        <v>49675</v>
      </c>
      <c r="C270" s="37">
        <f>C269*(1+$D$6)</f>
        <v>2409.0814703637993</v>
      </c>
      <c r="D270" s="38">
        <f t="shared" si="28"/>
        <v>448041.66961588303</v>
      </c>
      <c r="IP270" s="1"/>
      <c r="IQ270" s="1"/>
      <c r="IR270" s="1"/>
      <c r="IS270" s="1"/>
      <c r="IT270" s="1"/>
      <c r="IU270" s="1"/>
      <c r="IV270" s="1"/>
    </row>
    <row r="271" spans="1:256" s="10" customFormat="1" x14ac:dyDescent="0.2">
      <c r="A271" s="35">
        <f t="shared" si="26"/>
        <v>254</v>
      </c>
      <c r="B271" s="36">
        <f t="shared" si="25"/>
        <v>49706</v>
      </c>
      <c r="C271" s="37">
        <f t="shared" ref="C271:C281" si="33">C270</f>
        <v>2409.0814703637993</v>
      </c>
      <c r="D271" s="38">
        <f t="shared" si="28"/>
        <v>450450.7510862468</v>
      </c>
      <c r="IP271" s="1"/>
      <c r="IQ271" s="1"/>
      <c r="IR271" s="1"/>
      <c r="IS271" s="1"/>
      <c r="IT271" s="1"/>
      <c r="IU271" s="1"/>
      <c r="IV271" s="1"/>
    </row>
    <row r="272" spans="1:256" s="10" customFormat="1" x14ac:dyDescent="0.2">
      <c r="A272" s="35">
        <f t="shared" si="26"/>
        <v>255</v>
      </c>
      <c r="B272" s="36">
        <f t="shared" si="25"/>
        <v>49735</v>
      </c>
      <c r="C272" s="37">
        <f t="shared" si="33"/>
        <v>2409.0814703637993</v>
      </c>
      <c r="D272" s="38">
        <f t="shared" si="28"/>
        <v>452859.83255661058</v>
      </c>
      <c r="IP272" s="1"/>
      <c r="IQ272" s="1"/>
      <c r="IR272" s="1"/>
      <c r="IS272" s="1"/>
      <c r="IT272" s="1"/>
      <c r="IU272" s="1"/>
      <c r="IV272" s="1"/>
    </row>
    <row r="273" spans="1:256" s="10" customFormat="1" x14ac:dyDescent="0.2">
      <c r="A273" s="35">
        <f t="shared" si="26"/>
        <v>256</v>
      </c>
      <c r="B273" s="36">
        <f t="shared" si="25"/>
        <v>49766</v>
      </c>
      <c r="C273" s="37">
        <f t="shared" si="33"/>
        <v>2409.0814703637993</v>
      </c>
      <c r="D273" s="38">
        <f t="shared" si="28"/>
        <v>455268.91402697435</v>
      </c>
      <c r="IP273" s="1"/>
      <c r="IQ273" s="1"/>
      <c r="IR273" s="1"/>
      <c r="IS273" s="1"/>
      <c r="IT273" s="1"/>
      <c r="IU273" s="1"/>
      <c r="IV273" s="1"/>
    </row>
    <row r="274" spans="1:256" s="10" customFormat="1" x14ac:dyDescent="0.2">
      <c r="A274" s="35">
        <f t="shared" si="26"/>
        <v>257</v>
      </c>
      <c r="B274" s="36">
        <f t="shared" ref="B274:B337" si="34">IF(Pay_Num&lt;&gt;"",DATE(YEAR(Loan_Start),MONTH(Loan_Start)+(Pay_Num)*12/Num_Pmt_Per_Year,DAY(Loan_Start)),"")</f>
        <v>49796</v>
      </c>
      <c r="C274" s="37">
        <f t="shared" si="33"/>
        <v>2409.0814703637993</v>
      </c>
      <c r="D274" s="38">
        <f t="shared" si="28"/>
        <v>457677.99549733812</v>
      </c>
      <c r="IP274" s="1"/>
      <c r="IQ274" s="1"/>
      <c r="IR274" s="1"/>
      <c r="IS274" s="1"/>
      <c r="IT274" s="1"/>
      <c r="IU274" s="1"/>
      <c r="IV274" s="1"/>
    </row>
    <row r="275" spans="1:256" s="10" customFormat="1" x14ac:dyDescent="0.2">
      <c r="A275" s="35">
        <f t="shared" ref="A275:A338" si="35">IF(Values_Entered,A274+1,"")</f>
        <v>258</v>
      </c>
      <c r="B275" s="36">
        <f t="shared" si="34"/>
        <v>49827</v>
      </c>
      <c r="C275" s="37">
        <f t="shared" si="33"/>
        <v>2409.0814703637993</v>
      </c>
      <c r="D275" s="38">
        <f t="shared" ref="D275:D338" si="36">D274+C275</f>
        <v>460087.0769677019</v>
      </c>
      <c r="IP275" s="1"/>
      <c r="IQ275" s="1"/>
      <c r="IR275" s="1"/>
      <c r="IS275" s="1"/>
      <c r="IT275" s="1"/>
      <c r="IU275" s="1"/>
      <c r="IV275" s="1"/>
    </row>
    <row r="276" spans="1:256" s="10" customFormat="1" x14ac:dyDescent="0.2">
      <c r="A276" s="35">
        <f t="shared" si="35"/>
        <v>259</v>
      </c>
      <c r="B276" s="36">
        <f t="shared" si="34"/>
        <v>49857</v>
      </c>
      <c r="C276" s="37">
        <f t="shared" si="33"/>
        <v>2409.0814703637993</v>
      </c>
      <c r="D276" s="38">
        <f t="shared" si="36"/>
        <v>462496.15843806567</v>
      </c>
      <c r="IP276" s="1"/>
      <c r="IQ276" s="1"/>
      <c r="IR276" s="1"/>
      <c r="IS276" s="1"/>
      <c r="IT276" s="1"/>
      <c r="IU276" s="1"/>
      <c r="IV276" s="1"/>
    </row>
    <row r="277" spans="1:256" s="10" customFormat="1" x14ac:dyDescent="0.2">
      <c r="A277" s="35">
        <f t="shared" si="35"/>
        <v>260</v>
      </c>
      <c r="B277" s="36">
        <f t="shared" si="34"/>
        <v>49888</v>
      </c>
      <c r="C277" s="37">
        <f t="shared" si="33"/>
        <v>2409.0814703637993</v>
      </c>
      <c r="D277" s="38">
        <f t="shared" si="36"/>
        <v>464905.23990842944</v>
      </c>
      <c r="IP277" s="1"/>
      <c r="IQ277" s="1"/>
      <c r="IR277" s="1"/>
      <c r="IS277" s="1"/>
      <c r="IT277" s="1"/>
      <c r="IU277" s="1"/>
      <c r="IV277" s="1"/>
    </row>
    <row r="278" spans="1:256" s="10" customFormat="1" x14ac:dyDescent="0.2">
      <c r="A278" s="35">
        <f t="shared" si="35"/>
        <v>261</v>
      </c>
      <c r="B278" s="36">
        <f t="shared" si="34"/>
        <v>49919</v>
      </c>
      <c r="C278" s="37">
        <f t="shared" si="33"/>
        <v>2409.0814703637993</v>
      </c>
      <c r="D278" s="38">
        <f t="shared" si="36"/>
        <v>467314.32137879322</v>
      </c>
      <c r="IP278" s="1"/>
      <c r="IQ278" s="1"/>
      <c r="IR278" s="1"/>
      <c r="IS278" s="1"/>
      <c r="IT278" s="1"/>
      <c r="IU278" s="1"/>
      <c r="IV278" s="1"/>
    </row>
    <row r="279" spans="1:256" s="10" customFormat="1" x14ac:dyDescent="0.2">
      <c r="A279" s="35">
        <f t="shared" si="35"/>
        <v>262</v>
      </c>
      <c r="B279" s="36">
        <f t="shared" si="34"/>
        <v>49949</v>
      </c>
      <c r="C279" s="37">
        <f t="shared" si="33"/>
        <v>2409.0814703637993</v>
      </c>
      <c r="D279" s="38">
        <f t="shared" si="36"/>
        <v>469723.40284915699</v>
      </c>
      <c r="IP279" s="1"/>
      <c r="IQ279" s="1"/>
      <c r="IR279" s="1"/>
      <c r="IS279" s="1"/>
      <c r="IT279" s="1"/>
      <c r="IU279" s="1"/>
      <c r="IV279" s="1"/>
    </row>
    <row r="280" spans="1:256" s="10" customFormat="1" x14ac:dyDescent="0.2">
      <c r="A280" s="35">
        <f t="shared" si="35"/>
        <v>263</v>
      </c>
      <c r="B280" s="36">
        <f t="shared" si="34"/>
        <v>49980</v>
      </c>
      <c r="C280" s="37">
        <f t="shared" si="33"/>
        <v>2409.0814703637993</v>
      </c>
      <c r="D280" s="38">
        <f t="shared" si="36"/>
        <v>472132.48431952076</v>
      </c>
      <c r="IP280" s="1"/>
      <c r="IQ280" s="1"/>
      <c r="IR280" s="1"/>
      <c r="IS280" s="1"/>
      <c r="IT280" s="1"/>
      <c r="IU280" s="1"/>
      <c r="IV280" s="1"/>
    </row>
    <row r="281" spans="1:256" s="10" customFormat="1" x14ac:dyDescent="0.2">
      <c r="A281" s="35">
        <f t="shared" si="35"/>
        <v>264</v>
      </c>
      <c r="B281" s="36">
        <f t="shared" si="34"/>
        <v>50010</v>
      </c>
      <c r="C281" s="37">
        <f t="shared" si="33"/>
        <v>2409.0814703637993</v>
      </c>
      <c r="D281" s="38">
        <f t="shared" si="36"/>
        <v>474541.56578988454</v>
      </c>
      <c r="IP281" s="1"/>
      <c r="IQ281" s="1"/>
      <c r="IR281" s="1"/>
      <c r="IS281" s="1"/>
      <c r="IT281" s="1"/>
      <c r="IU281" s="1"/>
      <c r="IV281" s="1"/>
    </row>
    <row r="282" spans="1:256" s="10" customFormat="1" x14ac:dyDescent="0.2">
      <c r="A282" s="35">
        <f t="shared" si="35"/>
        <v>265</v>
      </c>
      <c r="B282" s="36">
        <f t="shared" si="34"/>
        <v>50041</v>
      </c>
      <c r="C282" s="37">
        <f>C281*(1+$D$6)</f>
        <v>2481.3539144747133</v>
      </c>
      <c r="D282" s="38">
        <f t="shared" si="36"/>
        <v>477022.91970435926</v>
      </c>
      <c r="IP282" s="1"/>
      <c r="IQ282" s="1"/>
      <c r="IR282" s="1"/>
      <c r="IS282" s="1"/>
      <c r="IT282" s="1"/>
      <c r="IU282" s="1"/>
      <c r="IV282" s="1"/>
    </row>
    <row r="283" spans="1:256" s="10" customFormat="1" x14ac:dyDescent="0.2">
      <c r="A283" s="35">
        <f t="shared" si="35"/>
        <v>266</v>
      </c>
      <c r="B283" s="36">
        <f t="shared" si="34"/>
        <v>50072</v>
      </c>
      <c r="C283" s="37">
        <f t="shared" ref="C283:C293" si="37">C282</f>
        <v>2481.3539144747133</v>
      </c>
      <c r="D283" s="38">
        <f t="shared" si="36"/>
        <v>479504.27361883398</v>
      </c>
      <c r="IP283" s="1"/>
      <c r="IQ283" s="1"/>
      <c r="IR283" s="1"/>
      <c r="IS283" s="1"/>
      <c r="IT283" s="1"/>
      <c r="IU283" s="1"/>
      <c r="IV283" s="1"/>
    </row>
    <row r="284" spans="1:256" s="10" customFormat="1" x14ac:dyDescent="0.2">
      <c r="A284" s="35">
        <f t="shared" si="35"/>
        <v>267</v>
      </c>
      <c r="B284" s="36">
        <f t="shared" si="34"/>
        <v>50100</v>
      </c>
      <c r="C284" s="37">
        <f t="shared" si="37"/>
        <v>2481.3539144747133</v>
      </c>
      <c r="D284" s="38">
        <f t="shared" si="36"/>
        <v>481985.6275333087</v>
      </c>
      <c r="IP284" s="1"/>
      <c r="IQ284" s="1"/>
      <c r="IR284" s="1"/>
      <c r="IS284" s="1"/>
      <c r="IT284" s="1"/>
      <c r="IU284" s="1"/>
      <c r="IV284" s="1"/>
    </row>
    <row r="285" spans="1:256" s="10" customFormat="1" x14ac:dyDescent="0.2">
      <c r="A285" s="35">
        <f t="shared" si="35"/>
        <v>268</v>
      </c>
      <c r="B285" s="36">
        <f t="shared" si="34"/>
        <v>50131</v>
      </c>
      <c r="C285" s="37">
        <f t="shared" si="37"/>
        <v>2481.3539144747133</v>
      </c>
      <c r="D285" s="38">
        <f t="shared" si="36"/>
        <v>484466.98144778342</v>
      </c>
      <c r="IP285" s="1"/>
      <c r="IQ285" s="1"/>
      <c r="IR285" s="1"/>
      <c r="IS285" s="1"/>
      <c r="IT285" s="1"/>
      <c r="IU285" s="1"/>
      <c r="IV285" s="1"/>
    </row>
    <row r="286" spans="1:256" s="10" customFormat="1" x14ac:dyDescent="0.2">
      <c r="A286" s="35">
        <f t="shared" si="35"/>
        <v>269</v>
      </c>
      <c r="B286" s="36">
        <f t="shared" si="34"/>
        <v>50161</v>
      </c>
      <c r="C286" s="37">
        <f t="shared" si="37"/>
        <v>2481.3539144747133</v>
      </c>
      <c r="D286" s="38">
        <f t="shared" si="36"/>
        <v>486948.33536225813</v>
      </c>
      <c r="IP286" s="1"/>
      <c r="IQ286" s="1"/>
      <c r="IR286" s="1"/>
      <c r="IS286" s="1"/>
      <c r="IT286" s="1"/>
      <c r="IU286" s="1"/>
      <c r="IV286" s="1"/>
    </row>
    <row r="287" spans="1:256" s="10" customFormat="1" x14ac:dyDescent="0.2">
      <c r="A287" s="35">
        <f t="shared" si="35"/>
        <v>270</v>
      </c>
      <c r="B287" s="36">
        <f t="shared" si="34"/>
        <v>50192</v>
      </c>
      <c r="C287" s="37">
        <f t="shared" si="37"/>
        <v>2481.3539144747133</v>
      </c>
      <c r="D287" s="38">
        <f t="shared" si="36"/>
        <v>489429.68927673285</v>
      </c>
      <c r="IP287" s="1"/>
      <c r="IQ287" s="1"/>
      <c r="IR287" s="1"/>
      <c r="IS287" s="1"/>
      <c r="IT287" s="1"/>
      <c r="IU287" s="1"/>
      <c r="IV287" s="1"/>
    </row>
    <row r="288" spans="1:256" s="10" customFormat="1" x14ac:dyDescent="0.2">
      <c r="A288" s="35">
        <f t="shared" si="35"/>
        <v>271</v>
      </c>
      <c r="B288" s="36">
        <f t="shared" si="34"/>
        <v>50222</v>
      </c>
      <c r="C288" s="37">
        <f t="shared" si="37"/>
        <v>2481.3539144747133</v>
      </c>
      <c r="D288" s="38">
        <f t="shared" si="36"/>
        <v>491911.04319120757</v>
      </c>
      <c r="IP288" s="1"/>
      <c r="IQ288" s="1"/>
      <c r="IR288" s="1"/>
      <c r="IS288" s="1"/>
      <c r="IT288" s="1"/>
      <c r="IU288" s="1"/>
      <c r="IV288" s="1"/>
    </row>
    <row r="289" spans="1:256" s="10" customFormat="1" x14ac:dyDescent="0.2">
      <c r="A289" s="35">
        <f t="shared" si="35"/>
        <v>272</v>
      </c>
      <c r="B289" s="36">
        <f t="shared" si="34"/>
        <v>50253</v>
      </c>
      <c r="C289" s="37">
        <f t="shared" si="37"/>
        <v>2481.3539144747133</v>
      </c>
      <c r="D289" s="38">
        <f t="shared" si="36"/>
        <v>494392.39710568229</v>
      </c>
      <c r="IP289" s="1"/>
      <c r="IQ289" s="1"/>
      <c r="IR289" s="1"/>
      <c r="IS289" s="1"/>
      <c r="IT289" s="1"/>
      <c r="IU289" s="1"/>
      <c r="IV289" s="1"/>
    </row>
    <row r="290" spans="1:256" s="10" customFormat="1" x14ac:dyDescent="0.2">
      <c r="A290" s="35">
        <f t="shared" si="35"/>
        <v>273</v>
      </c>
      <c r="B290" s="36">
        <f t="shared" si="34"/>
        <v>50284</v>
      </c>
      <c r="C290" s="37">
        <f t="shared" si="37"/>
        <v>2481.3539144747133</v>
      </c>
      <c r="D290" s="38">
        <f t="shared" si="36"/>
        <v>496873.75102015701</v>
      </c>
      <c r="IP290" s="1"/>
      <c r="IQ290" s="1"/>
      <c r="IR290" s="1"/>
      <c r="IS290" s="1"/>
      <c r="IT290" s="1"/>
      <c r="IU290" s="1"/>
      <c r="IV290" s="1"/>
    </row>
    <row r="291" spans="1:256" s="10" customFormat="1" x14ac:dyDescent="0.2">
      <c r="A291" s="35">
        <f t="shared" si="35"/>
        <v>274</v>
      </c>
      <c r="B291" s="36">
        <f t="shared" si="34"/>
        <v>50314</v>
      </c>
      <c r="C291" s="37">
        <f t="shared" si="37"/>
        <v>2481.3539144747133</v>
      </c>
      <c r="D291" s="38">
        <f t="shared" si="36"/>
        <v>499355.10493463173</v>
      </c>
      <c r="IP291" s="1"/>
      <c r="IQ291" s="1"/>
      <c r="IR291" s="1"/>
      <c r="IS291" s="1"/>
      <c r="IT291" s="1"/>
      <c r="IU291" s="1"/>
      <c r="IV291" s="1"/>
    </row>
    <row r="292" spans="1:256" s="10" customFormat="1" x14ac:dyDescent="0.2">
      <c r="A292" s="35">
        <f t="shared" si="35"/>
        <v>275</v>
      </c>
      <c r="B292" s="36">
        <f t="shared" si="34"/>
        <v>50345</v>
      </c>
      <c r="C292" s="37">
        <f t="shared" si="37"/>
        <v>2481.3539144747133</v>
      </c>
      <c r="D292" s="38">
        <f t="shared" si="36"/>
        <v>501836.45884910645</v>
      </c>
      <c r="IP292" s="1"/>
      <c r="IQ292" s="1"/>
      <c r="IR292" s="1"/>
      <c r="IS292" s="1"/>
      <c r="IT292" s="1"/>
      <c r="IU292" s="1"/>
      <c r="IV292" s="1"/>
    </row>
    <row r="293" spans="1:256" s="10" customFormat="1" x14ac:dyDescent="0.2">
      <c r="A293" s="35">
        <f t="shared" si="35"/>
        <v>276</v>
      </c>
      <c r="B293" s="36">
        <f t="shared" si="34"/>
        <v>50375</v>
      </c>
      <c r="C293" s="37">
        <f t="shared" si="37"/>
        <v>2481.3539144747133</v>
      </c>
      <c r="D293" s="38">
        <f t="shared" si="36"/>
        <v>504317.81276358117</v>
      </c>
      <c r="IP293" s="1"/>
      <c r="IQ293" s="1"/>
      <c r="IR293" s="1"/>
      <c r="IS293" s="1"/>
      <c r="IT293" s="1"/>
      <c r="IU293" s="1"/>
      <c r="IV293" s="1"/>
    </row>
    <row r="294" spans="1:256" s="10" customFormat="1" x14ac:dyDescent="0.2">
      <c r="A294" s="35">
        <f t="shared" si="35"/>
        <v>277</v>
      </c>
      <c r="B294" s="36">
        <f t="shared" si="34"/>
        <v>50406</v>
      </c>
      <c r="C294" s="37">
        <f>C293*(1+$D$6)</f>
        <v>2555.7945319089549</v>
      </c>
      <c r="D294" s="38">
        <f t="shared" si="36"/>
        <v>506873.6072954901</v>
      </c>
      <c r="IP294" s="1"/>
      <c r="IQ294" s="1"/>
      <c r="IR294" s="1"/>
      <c r="IS294" s="1"/>
      <c r="IT294" s="1"/>
      <c r="IU294" s="1"/>
      <c r="IV294" s="1"/>
    </row>
    <row r="295" spans="1:256" s="10" customFormat="1" x14ac:dyDescent="0.2">
      <c r="A295" s="35">
        <f t="shared" si="35"/>
        <v>278</v>
      </c>
      <c r="B295" s="36">
        <f t="shared" si="34"/>
        <v>50437</v>
      </c>
      <c r="C295" s="37">
        <f t="shared" ref="C295:C305" si="38">C294</f>
        <v>2555.7945319089549</v>
      </c>
      <c r="D295" s="38">
        <f t="shared" si="36"/>
        <v>509429.40182739904</v>
      </c>
      <c r="IP295" s="1"/>
      <c r="IQ295" s="1"/>
      <c r="IR295" s="1"/>
      <c r="IS295" s="1"/>
      <c r="IT295" s="1"/>
      <c r="IU295" s="1"/>
      <c r="IV295" s="1"/>
    </row>
    <row r="296" spans="1:256" s="10" customFormat="1" x14ac:dyDescent="0.2">
      <c r="A296" s="35">
        <f t="shared" si="35"/>
        <v>279</v>
      </c>
      <c r="B296" s="36">
        <f t="shared" si="34"/>
        <v>50465</v>
      </c>
      <c r="C296" s="37">
        <f t="shared" si="38"/>
        <v>2555.7945319089549</v>
      </c>
      <c r="D296" s="38">
        <f t="shared" si="36"/>
        <v>511985.19635930797</v>
      </c>
      <c r="IP296" s="1"/>
      <c r="IQ296" s="1"/>
      <c r="IR296" s="1"/>
      <c r="IS296" s="1"/>
      <c r="IT296" s="1"/>
      <c r="IU296" s="1"/>
      <c r="IV296" s="1"/>
    </row>
    <row r="297" spans="1:256" s="10" customFormat="1" x14ac:dyDescent="0.2">
      <c r="A297" s="35">
        <f t="shared" si="35"/>
        <v>280</v>
      </c>
      <c r="B297" s="36">
        <f t="shared" si="34"/>
        <v>50496</v>
      </c>
      <c r="C297" s="37">
        <f t="shared" si="38"/>
        <v>2555.7945319089549</v>
      </c>
      <c r="D297" s="38">
        <f t="shared" si="36"/>
        <v>514540.9908912169</v>
      </c>
      <c r="IP297" s="1"/>
      <c r="IQ297" s="1"/>
      <c r="IR297" s="1"/>
      <c r="IS297" s="1"/>
      <c r="IT297" s="1"/>
      <c r="IU297" s="1"/>
      <c r="IV297" s="1"/>
    </row>
    <row r="298" spans="1:256" s="10" customFormat="1" x14ac:dyDescent="0.2">
      <c r="A298" s="35">
        <f t="shared" si="35"/>
        <v>281</v>
      </c>
      <c r="B298" s="36">
        <f t="shared" si="34"/>
        <v>50526</v>
      </c>
      <c r="C298" s="37">
        <f t="shared" si="38"/>
        <v>2555.7945319089549</v>
      </c>
      <c r="D298" s="38">
        <f t="shared" si="36"/>
        <v>517096.78542312584</v>
      </c>
      <c r="IP298" s="1"/>
      <c r="IQ298" s="1"/>
      <c r="IR298" s="1"/>
      <c r="IS298" s="1"/>
      <c r="IT298" s="1"/>
      <c r="IU298" s="1"/>
      <c r="IV298" s="1"/>
    </row>
    <row r="299" spans="1:256" s="10" customFormat="1" x14ac:dyDescent="0.2">
      <c r="A299" s="35">
        <f t="shared" si="35"/>
        <v>282</v>
      </c>
      <c r="B299" s="36">
        <f t="shared" si="34"/>
        <v>50557</v>
      </c>
      <c r="C299" s="37">
        <f t="shared" si="38"/>
        <v>2555.7945319089549</v>
      </c>
      <c r="D299" s="38">
        <f t="shared" si="36"/>
        <v>519652.57995503477</v>
      </c>
      <c r="IP299" s="1"/>
      <c r="IQ299" s="1"/>
      <c r="IR299" s="1"/>
      <c r="IS299" s="1"/>
      <c r="IT299" s="1"/>
      <c r="IU299" s="1"/>
      <c r="IV299" s="1"/>
    </row>
    <row r="300" spans="1:256" s="10" customFormat="1" x14ac:dyDescent="0.2">
      <c r="A300" s="35">
        <f t="shared" si="35"/>
        <v>283</v>
      </c>
      <c r="B300" s="36">
        <f t="shared" si="34"/>
        <v>50587</v>
      </c>
      <c r="C300" s="37">
        <f t="shared" si="38"/>
        <v>2555.7945319089549</v>
      </c>
      <c r="D300" s="38">
        <f t="shared" si="36"/>
        <v>522208.37448694371</v>
      </c>
      <c r="IP300" s="1"/>
      <c r="IQ300" s="1"/>
      <c r="IR300" s="1"/>
      <c r="IS300" s="1"/>
      <c r="IT300" s="1"/>
      <c r="IU300" s="1"/>
      <c r="IV300" s="1"/>
    </row>
    <row r="301" spans="1:256" s="10" customFormat="1" x14ac:dyDescent="0.2">
      <c r="A301" s="35">
        <f t="shared" si="35"/>
        <v>284</v>
      </c>
      <c r="B301" s="36">
        <f t="shared" si="34"/>
        <v>50618</v>
      </c>
      <c r="C301" s="37">
        <f t="shared" si="38"/>
        <v>2555.7945319089549</v>
      </c>
      <c r="D301" s="38">
        <f t="shared" si="36"/>
        <v>524764.16901885264</v>
      </c>
      <c r="IP301" s="1"/>
      <c r="IQ301" s="1"/>
      <c r="IR301" s="1"/>
      <c r="IS301" s="1"/>
      <c r="IT301" s="1"/>
      <c r="IU301" s="1"/>
      <c r="IV301" s="1"/>
    </row>
    <row r="302" spans="1:256" s="10" customFormat="1" x14ac:dyDescent="0.2">
      <c r="A302" s="35">
        <f t="shared" si="35"/>
        <v>285</v>
      </c>
      <c r="B302" s="36">
        <f t="shared" si="34"/>
        <v>50649</v>
      </c>
      <c r="C302" s="37">
        <f t="shared" si="38"/>
        <v>2555.7945319089549</v>
      </c>
      <c r="D302" s="38">
        <f t="shared" si="36"/>
        <v>527319.96355076157</v>
      </c>
      <c r="IP302" s="1"/>
      <c r="IQ302" s="1"/>
      <c r="IR302" s="1"/>
      <c r="IS302" s="1"/>
      <c r="IT302" s="1"/>
      <c r="IU302" s="1"/>
      <c r="IV302" s="1"/>
    </row>
    <row r="303" spans="1:256" s="10" customFormat="1" x14ac:dyDescent="0.2">
      <c r="A303" s="35">
        <f t="shared" si="35"/>
        <v>286</v>
      </c>
      <c r="B303" s="36">
        <f t="shared" si="34"/>
        <v>50679</v>
      </c>
      <c r="C303" s="37">
        <f t="shared" si="38"/>
        <v>2555.7945319089549</v>
      </c>
      <c r="D303" s="38">
        <f t="shared" si="36"/>
        <v>529875.75808267051</v>
      </c>
      <c r="IP303" s="1"/>
      <c r="IQ303" s="1"/>
      <c r="IR303" s="1"/>
      <c r="IS303" s="1"/>
      <c r="IT303" s="1"/>
      <c r="IU303" s="1"/>
      <c r="IV303" s="1"/>
    </row>
    <row r="304" spans="1:256" s="10" customFormat="1" x14ac:dyDescent="0.2">
      <c r="A304" s="35">
        <f t="shared" si="35"/>
        <v>287</v>
      </c>
      <c r="B304" s="36">
        <f t="shared" si="34"/>
        <v>50710</v>
      </c>
      <c r="C304" s="37">
        <f t="shared" si="38"/>
        <v>2555.7945319089549</v>
      </c>
      <c r="D304" s="38">
        <f t="shared" si="36"/>
        <v>532431.55261457944</v>
      </c>
      <c r="IP304" s="1"/>
      <c r="IQ304" s="1"/>
      <c r="IR304" s="1"/>
      <c r="IS304" s="1"/>
      <c r="IT304" s="1"/>
      <c r="IU304" s="1"/>
      <c r="IV304" s="1"/>
    </row>
    <row r="305" spans="1:256" s="10" customFormat="1" x14ac:dyDescent="0.2">
      <c r="A305" s="35">
        <f t="shared" si="35"/>
        <v>288</v>
      </c>
      <c r="B305" s="36">
        <f t="shared" si="34"/>
        <v>50740</v>
      </c>
      <c r="C305" s="37">
        <f t="shared" si="38"/>
        <v>2555.7945319089549</v>
      </c>
      <c r="D305" s="38">
        <f t="shared" si="36"/>
        <v>534987.34714648838</v>
      </c>
      <c r="IP305" s="1"/>
      <c r="IQ305" s="1"/>
      <c r="IR305" s="1"/>
      <c r="IS305" s="1"/>
      <c r="IT305" s="1"/>
      <c r="IU305" s="1"/>
      <c r="IV305" s="1"/>
    </row>
    <row r="306" spans="1:256" s="10" customFormat="1" x14ac:dyDescent="0.2">
      <c r="A306" s="35">
        <f t="shared" si="35"/>
        <v>289</v>
      </c>
      <c r="B306" s="36">
        <f t="shared" si="34"/>
        <v>50771</v>
      </c>
      <c r="C306" s="37">
        <f>C305*(1+$D$6)</f>
        <v>2632.4683678662236</v>
      </c>
      <c r="D306" s="38">
        <f t="shared" si="36"/>
        <v>537619.81551435462</v>
      </c>
      <c r="IP306" s="1"/>
      <c r="IQ306" s="1"/>
      <c r="IR306" s="1"/>
      <c r="IS306" s="1"/>
      <c r="IT306" s="1"/>
      <c r="IU306" s="1"/>
      <c r="IV306" s="1"/>
    </row>
    <row r="307" spans="1:256" s="10" customFormat="1" x14ac:dyDescent="0.2">
      <c r="A307" s="35">
        <f t="shared" si="35"/>
        <v>290</v>
      </c>
      <c r="B307" s="36">
        <f t="shared" si="34"/>
        <v>50802</v>
      </c>
      <c r="C307" s="37">
        <f t="shared" ref="C307:C317" si="39">C306</f>
        <v>2632.4683678662236</v>
      </c>
      <c r="D307" s="38">
        <f t="shared" si="36"/>
        <v>540252.28388222086</v>
      </c>
      <c r="IP307" s="1"/>
      <c r="IQ307" s="1"/>
      <c r="IR307" s="1"/>
      <c r="IS307" s="1"/>
      <c r="IT307" s="1"/>
      <c r="IU307" s="1"/>
      <c r="IV307" s="1"/>
    </row>
    <row r="308" spans="1:256" s="10" customFormat="1" x14ac:dyDescent="0.2">
      <c r="A308" s="35">
        <f t="shared" si="35"/>
        <v>291</v>
      </c>
      <c r="B308" s="36">
        <f t="shared" si="34"/>
        <v>50830</v>
      </c>
      <c r="C308" s="37">
        <f t="shared" si="39"/>
        <v>2632.4683678662236</v>
      </c>
      <c r="D308" s="38">
        <f t="shared" si="36"/>
        <v>542884.7522500871</v>
      </c>
      <c r="IP308" s="1"/>
      <c r="IQ308" s="1"/>
      <c r="IR308" s="1"/>
      <c r="IS308" s="1"/>
      <c r="IT308" s="1"/>
      <c r="IU308" s="1"/>
      <c r="IV308" s="1"/>
    </row>
    <row r="309" spans="1:256" s="10" customFormat="1" x14ac:dyDescent="0.2">
      <c r="A309" s="35">
        <f t="shared" si="35"/>
        <v>292</v>
      </c>
      <c r="B309" s="36">
        <f t="shared" si="34"/>
        <v>50861</v>
      </c>
      <c r="C309" s="37">
        <f t="shared" si="39"/>
        <v>2632.4683678662236</v>
      </c>
      <c r="D309" s="38">
        <f t="shared" si="36"/>
        <v>545517.22061795334</v>
      </c>
      <c r="IP309" s="1"/>
      <c r="IQ309" s="1"/>
      <c r="IR309" s="1"/>
      <c r="IS309" s="1"/>
      <c r="IT309" s="1"/>
      <c r="IU309" s="1"/>
      <c r="IV309" s="1"/>
    </row>
    <row r="310" spans="1:256" s="10" customFormat="1" x14ac:dyDescent="0.2">
      <c r="A310" s="35">
        <f t="shared" si="35"/>
        <v>293</v>
      </c>
      <c r="B310" s="36">
        <f t="shared" si="34"/>
        <v>50891</v>
      </c>
      <c r="C310" s="37">
        <f t="shared" si="39"/>
        <v>2632.4683678662236</v>
      </c>
      <c r="D310" s="38">
        <f t="shared" si="36"/>
        <v>548149.68898581958</v>
      </c>
      <c r="IP310" s="1"/>
      <c r="IQ310" s="1"/>
      <c r="IR310" s="1"/>
      <c r="IS310" s="1"/>
      <c r="IT310" s="1"/>
      <c r="IU310" s="1"/>
      <c r="IV310" s="1"/>
    </row>
    <row r="311" spans="1:256" s="10" customFormat="1" x14ac:dyDescent="0.2">
      <c r="A311" s="35">
        <f t="shared" si="35"/>
        <v>294</v>
      </c>
      <c r="B311" s="36">
        <f t="shared" si="34"/>
        <v>50922</v>
      </c>
      <c r="C311" s="37">
        <f t="shared" si="39"/>
        <v>2632.4683678662236</v>
      </c>
      <c r="D311" s="38">
        <f t="shared" si="36"/>
        <v>550782.15735368582</v>
      </c>
      <c r="IP311" s="1"/>
      <c r="IQ311" s="1"/>
      <c r="IR311" s="1"/>
      <c r="IS311" s="1"/>
      <c r="IT311" s="1"/>
      <c r="IU311" s="1"/>
      <c r="IV311" s="1"/>
    </row>
    <row r="312" spans="1:256" s="10" customFormat="1" x14ac:dyDescent="0.2">
      <c r="A312" s="35">
        <f t="shared" si="35"/>
        <v>295</v>
      </c>
      <c r="B312" s="36">
        <f t="shared" si="34"/>
        <v>50952</v>
      </c>
      <c r="C312" s="37">
        <f t="shared" si="39"/>
        <v>2632.4683678662236</v>
      </c>
      <c r="D312" s="38">
        <f t="shared" si="36"/>
        <v>553414.62572155206</v>
      </c>
      <c r="IP312" s="1"/>
      <c r="IQ312" s="1"/>
      <c r="IR312" s="1"/>
      <c r="IS312" s="1"/>
      <c r="IT312" s="1"/>
      <c r="IU312" s="1"/>
      <c r="IV312" s="1"/>
    </row>
    <row r="313" spans="1:256" s="10" customFormat="1" x14ac:dyDescent="0.2">
      <c r="A313" s="35">
        <f t="shared" si="35"/>
        <v>296</v>
      </c>
      <c r="B313" s="36">
        <f t="shared" si="34"/>
        <v>50983</v>
      </c>
      <c r="C313" s="37">
        <f t="shared" si="39"/>
        <v>2632.4683678662236</v>
      </c>
      <c r="D313" s="38">
        <f t="shared" si="36"/>
        <v>556047.0940894183</v>
      </c>
      <c r="IP313" s="1"/>
      <c r="IQ313" s="1"/>
      <c r="IR313" s="1"/>
      <c r="IS313" s="1"/>
      <c r="IT313" s="1"/>
      <c r="IU313" s="1"/>
      <c r="IV313" s="1"/>
    </row>
    <row r="314" spans="1:256" s="10" customFormat="1" x14ac:dyDescent="0.2">
      <c r="A314" s="35">
        <f t="shared" si="35"/>
        <v>297</v>
      </c>
      <c r="B314" s="36">
        <f t="shared" si="34"/>
        <v>51014</v>
      </c>
      <c r="C314" s="37">
        <f t="shared" si="39"/>
        <v>2632.4683678662236</v>
      </c>
      <c r="D314" s="38">
        <f t="shared" si="36"/>
        <v>558679.56245728454</v>
      </c>
      <c r="IP314" s="1"/>
      <c r="IQ314" s="1"/>
      <c r="IR314" s="1"/>
      <c r="IS314" s="1"/>
      <c r="IT314" s="1"/>
      <c r="IU314" s="1"/>
      <c r="IV314" s="1"/>
    </row>
    <row r="315" spans="1:256" s="10" customFormat="1" x14ac:dyDescent="0.2">
      <c r="A315" s="35">
        <f t="shared" si="35"/>
        <v>298</v>
      </c>
      <c r="B315" s="36">
        <f t="shared" si="34"/>
        <v>51044</v>
      </c>
      <c r="C315" s="37">
        <f t="shared" si="39"/>
        <v>2632.4683678662236</v>
      </c>
      <c r="D315" s="38">
        <f t="shared" si="36"/>
        <v>561312.03082515078</v>
      </c>
      <c r="IP315" s="1"/>
      <c r="IQ315" s="1"/>
      <c r="IR315" s="1"/>
      <c r="IS315" s="1"/>
      <c r="IT315" s="1"/>
      <c r="IU315" s="1"/>
      <c r="IV315" s="1"/>
    </row>
    <row r="316" spans="1:256" s="10" customFormat="1" x14ac:dyDescent="0.2">
      <c r="A316" s="35">
        <f t="shared" si="35"/>
        <v>299</v>
      </c>
      <c r="B316" s="36">
        <f t="shared" si="34"/>
        <v>51075</v>
      </c>
      <c r="C316" s="37">
        <f t="shared" si="39"/>
        <v>2632.4683678662236</v>
      </c>
      <c r="D316" s="38">
        <f t="shared" si="36"/>
        <v>563944.49919301702</v>
      </c>
      <c r="IP316" s="1"/>
      <c r="IQ316" s="1"/>
      <c r="IR316" s="1"/>
      <c r="IS316" s="1"/>
      <c r="IT316" s="1"/>
      <c r="IU316" s="1"/>
      <c r="IV316" s="1"/>
    </row>
    <row r="317" spans="1:256" s="10" customFormat="1" x14ac:dyDescent="0.2">
      <c r="A317" s="35">
        <f t="shared" si="35"/>
        <v>300</v>
      </c>
      <c r="B317" s="36">
        <f t="shared" si="34"/>
        <v>51105</v>
      </c>
      <c r="C317" s="37">
        <f t="shared" si="39"/>
        <v>2632.4683678662236</v>
      </c>
      <c r="D317" s="38">
        <f t="shared" si="36"/>
        <v>566576.96756088326</v>
      </c>
      <c r="IP317" s="1"/>
      <c r="IQ317" s="1"/>
      <c r="IR317" s="1"/>
      <c r="IS317" s="1"/>
      <c r="IT317" s="1"/>
      <c r="IU317" s="1"/>
      <c r="IV317" s="1"/>
    </row>
    <row r="318" spans="1:256" s="10" customFormat="1" x14ac:dyDescent="0.2">
      <c r="A318" s="35">
        <f t="shared" si="35"/>
        <v>301</v>
      </c>
      <c r="B318" s="36">
        <f t="shared" si="34"/>
        <v>51136</v>
      </c>
      <c r="C318" s="37">
        <f>C317*(1+$D$6)</f>
        <v>2711.4424189022102</v>
      </c>
      <c r="D318" s="38">
        <f t="shared" si="36"/>
        <v>569288.40997978544</v>
      </c>
      <c r="IP318" s="1"/>
      <c r="IQ318" s="1"/>
      <c r="IR318" s="1"/>
      <c r="IS318" s="1"/>
      <c r="IT318" s="1"/>
      <c r="IU318" s="1"/>
      <c r="IV318" s="1"/>
    </row>
    <row r="319" spans="1:256" s="10" customFormat="1" x14ac:dyDescent="0.2">
      <c r="A319" s="35">
        <f t="shared" si="35"/>
        <v>302</v>
      </c>
      <c r="B319" s="36">
        <f t="shared" si="34"/>
        <v>51167</v>
      </c>
      <c r="C319" s="37">
        <f t="shared" ref="C319:C329" si="40">C318</f>
        <v>2711.4424189022102</v>
      </c>
      <c r="D319" s="38">
        <f t="shared" si="36"/>
        <v>571999.85239868762</v>
      </c>
      <c r="IP319" s="1"/>
      <c r="IQ319" s="1"/>
      <c r="IR319" s="1"/>
      <c r="IS319" s="1"/>
      <c r="IT319" s="1"/>
      <c r="IU319" s="1"/>
      <c r="IV319" s="1"/>
    </row>
    <row r="320" spans="1:256" s="10" customFormat="1" x14ac:dyDescent="0.2">
      <c r="A320" s="35">
        <f t="shared" si="35"/>
        <v>303</v>
      </c>
      <c r="B320" s="36">
        <f t="shared" si="34"/>
        <v>51196</v>
      </c>
      <c r="C320" s="37">
        <f t="shared" si="40"/>
        <v>2711.4424189022102</v>
      </c>
      <c r="D320" s="38">
        <f t="shared" si="36"/>
        <v>574711.29481758981</v>
      </c>
      <c r="IP320" s="1"/>
      <c r="IQ320" s="1"/>
      <c r="IR320" s="1"/>
      <c r="IS320" s="1"/>
      <c r="IT320" s="1"/>
      <c r="IU320" s="1"/>
      <c r="IV320" s="1"/>
    </row>
    <row r="321" spans="1:256" s="10" customFormat="1" x14ac:dyDescent="0.2">
      <c r="A321" s="35">
        <f t="shared" si="35"/>
        <v>304</v>
      </c>
      <c r="B321" s="36">
        <f t="shared" si="34"/>
        <v>51227</v>
      </c>
      <c r="C321" s="37">
        <f t="shared" si="40"/>
        <v>2711.4424189022102</v>
      </c>
      <c r="D321" s="38">
        <f t="shared" si="36"/>
        <v>577422.73723649199</v>
      </c>
      <c r="IP321" s="1"/>
      <c r="IQ321" s="1"/>
      <c r="IR321" s="1"/>
      <c r="IS321" s="1"/>
      <c r="IT321" s="1"/>
      <c r="IU321" s="1"/>
      <c r="IV321" s="1"/>
    </row>
    <row r="322" spans="1:256" s="10" customFormat="1" x14ac:dyDescent="0.2">
      <c r="A322" s="35">
        <f t="shared" si="35"/>
        <v>305</v>
      </c>
      <c r="B322" s="36">
        <f t="shared" si="34"/>
        <v>51257</v>
      </c>
      <c r="C322" s="37">
        <f t="shared" si="40"/>
        <v>2711.4424189022102</v>
      </c>
      <c r="D322" s="38">
        <f t="shared" si="36"/>
        <v>580134.17965539417</v>
      </c>
      <c r="IP322" s="1"/>
      <c r="IQ322" s="1"/>
      <c r="IR322" s="1"/>
      <c r="IS322" s="1"/>
      <c r="IT322" s="1"/>
      <c r="IU322" s="1"/>
      <c r="IV322" s="1"/>
    </row>
    <row r="323" spans="1:256" s="10" customFormat="1" x14ac:dyDescent="0.2">
      <c r="A323" s="35">
        <f t="shared" si="35"/>
        <v>306</v>
      </c>
      <c r="B323" s="36">
        <f t="shared" si="34"/>
        <v>51288</v>
      </c>
      <c r="C323" s="37">
        <f t="shared" si="40"/>
        <v>2711.4424189022102</v>
      </c>
      <c r="D323" s="38">
        <f t="shared" si="36"/>
        <v>582845.62207429635</v>
      </c>
      <c r="IP323" s="1"/>
      <c r="IQ323" s="1"/>
      <c r="IR323" s="1"/>
      <c r="IS323" s="1"/>
      <c r="IT323" s="1"/>
      <c r="IU323" s="1"/>
      <c r="IV323" s="1"/>
    </row>
    <row r="324" spans="1:256" s="10" customFormat="1" x14ac:dyDescent="0.2">
      <c r="A324" s="35">
        <f t="shared" si="35"/>
        <v>307</v>
      </c>
      <c r="B324" s="36">
        <f t="shared" si="34"/>
        <v>51318</v>
      </c>
      <c r="C324" s="37">
        <f t="shared" si="40"/>
        <v>2711.4424189022102</v>
      </c>
      <c r="D324" s="38">
        <f t="shared" si="36"/>
        <v>585557.06449319853</v>
      </c>
      <c r="IP324" s="1"/>
      <c r="IQ324" s="1"/>
      <c r="IR324" s="1"/>
      <c r="IS324" s="1"/>
      <c r="IT324" s="1"/>
      <c r="IU324" s="1"/>
      <c r="IV324" s="1"/>
    </row>
    <row r="325" spans="1:256" s="10" customFormat="1" x14ac:dyDescent="0.2">
      <c r="A325" s="35">
        <f t="shared" si="35"/>
        <v>308</v>
      </c>
      <c r="B325" s="36">
        <f t="shared" si="34"/>
        <v>51349</v>
      </c>
      <c r="C325" s="37">
        <f t="shared" si="40"/>
        <v>2711.4424189022102</v>
      </c>
      <c r="D325" s="38">
        <f t="shared" si="36"/>
        <v>588268.50691210071</v>
      </c>
      <c r="IP325" s="1"/>
      <c r="IQ325" s="1"/>
      <c r="IR325" s="1"/>
      <c r="IS325" s="1"/>
      <c r="IT325" s="1"/>
      <c r="IU325" s="1"/>
      <c r="IV325" s="1"/>
    </row>
    <row r="326" spans="1:256" s="10" customFormat="1" x14ac:dyDescent="0.2">
      <c r="A326" s="35">
        <f t="shared" si="35"/>
        <v>309</v>
      </c>
      <c r="B326" s="36">
        <f t="shared" si="34"/>
        <v>51380</v>
      </c>
      <c r="C326" s="37">
        <f t="shared" si="40"/>
        <v>2711.4424189022102</v>
      </c>
      <c r="D326" s="38">
        <f t="shared" si="36"/>
        <v>590979.94933100289</v>
      </c>
      <c r="IP326" s="1"/>
      <c r="IQ326" s="1"/>
      <c r="IR326" s="1"/>
      <c r="IS326" s="1"/>
      <c r="IT326" s="1"/>
      <c r="IU326" s="1"/>
      <c r="IV326" s="1"/>
    </row>
    <row r="327" spans="1:256" s="10" customFormat="1" x14ac:dyDescent="0.2">
      <c r="A327" s="35">
        <f t="shared" si="35"/>
        <v>310</v>
      </c>
      <c r="B327" s="36">
        <f t="shared" si="34"/>
        <v>51410</v>
      </c>
      <c r="C327" s="37">
        <f t="shared" si="40"/>
        <v>2711.4424189022102</v>
      </c>
      <c r="D327" s="38">
        <f t="shared" si="36"/>
        <v>593691.39174990507</v>
      </c>
      <c r="IP327" s="1"/>
      <c r="IQ327" s="1"/>
      <c r="IR327" s="1"/>
      <c r="IS327" s="1"/>
      <c r="IT327" s="1"/>
      <c r="IU327" s="1"/>
      <c r="IV327" s="1"/>
    </row>
    <row r="328" spans="1:256" s="10" customFormat="1" x14ac:dyDescent="0.2">
      <c r="A328" s="35">
        <f t="shared" si="35"/>
        <v>311</v>
      </c>
      <c r="B328" s="36">
        <f t="shared" si="34"/>
        <v>51441</v>
      </c>
      <c r="C328" s="37">
        <f t="shared" si="40"/>
        <v>2711.4424189022102</v>
      </c>
      <c r="D328" s="38">
        <f t="shared" si="36"/>
        <v>596402.83416880725</v>
      </c>
      <c r="IP328" s="1"/>
      <c r="IQ328" s="1"/>
      <c r="IR328" s="1"/>
      <c r="IS328" s="1"/>
      <c r="IT328" s="1"/>
      <c r="IU328" s="1"/>
      <c r="IV328" s="1"/>
    </row>
    <row r="329" spans="1:256" s="10" customFormat="1" x14ac:dyDescent="0.2">
      <c r="A329" s="35">
        <f t="shared" si="35"/>
        <v>312</v>
      </c>
      <c r="B329" s="36">
        <f t="shared" si="34"/>
        <v>51471</v>
      </c>
      <c r="C329" s="37">
        <f t="shared" si="40"/>
        <v>2711.4424189022102</v>
      </c>
      <c r="D329" s="38">
        <f t="shared" si="36"/>
        <v>599114.27658770944</v>
      </c>
      <c r="IP329" s="1"/>
      <c r="IQ329" s="1"/>
      <c r="IR329" s="1"/>
      <c r="IS329" s="1"/>
      <c r="IT329" s="1"/>
      <c r="IU329" s="1"/>
      <c r="IV329" s="1"/>
    </row>
    <row r="330" spans="1:256" s="10" customFormat="1" x14ac:dyDescent="0.2">
      <c r="A330" s="35">
        <f t="shared" si="35"/>
        <v>313</v>
      </c>
      <c r="B330" s="36">
        <f t="shared" si="34"/>
        <v>51502</v>
      </c>
      <c r="C330" s="37">
        <f>C329*(1+$D$6)</f>
        <v>2792.7856914692766</v>
      </c>
      <c r="D330" s="38">
        <f t="shared" si="36"/>
        <v>601907.06227917876</v>
      </c>
      <c r="IP330" s="1"/>
      <c r="IQ330" s="1"/>
      <c r="IR330" s="1"/>
      <c r="IS330" s="1"/>
      <c r="IT330" s="1"/>
      <c r="IU330" s="1"/>
      <c r="IV330" s="1"/>
    </row>
    <row r="331" spans="1:256" s="10" customFormat="1" x14ac:dyDescent="0.2">
      <c r="A331" s="35">
        <f t="shared" si="35"/>
        <v>314</v>
      </c>
      <c r="B331" s="36">
        <f t="shared" si="34"/>
        <v>51533</v>
      </c>
      <c r="C331" s="37">
        <f t="shared" ref="C331:C341" si="41">C330</f>
        <v>2792.7856914692766</v>
      </c>
      <c r="D331" s="38">
        <f t="shared" si="36"/>
        <v>604699.84797064809</v>
      </c>
      <c r="IP331" s="1"/>
      <c r="IQ331" s="1"/>
      <c r="IR331" s="1"/>
      <c r="IS331" s="1"/>
      <c r="IT331" s="1"/>
      <c r="IU331" s="1"/>
      <c r="IV331" s="1"/>
    </row>
    <row r="332" spans="1:256" s="10" customFormat="1" x14ac:dyDescent="0.2">
      <c r="A332" s="35">
        <f t="shared" si="35"/>
        <v>315</v>
      </c>
      <c r="B332" s="36">
        <f t="shared" si="34"/>
        <v>51561</v>
      </c>
      <c r="C332" s="37">
        <f t="shared" si="41"/>
        <v>2792.7856914692766</v>
      </c>
      <c r="D332" s="38">
        <f t="shared" si="36"/>
        <v>607492.63366211741</v>
      </c>
      <c r="IP332" s="1"/>
      <c r="IQ332" s="1"/>
      <c r="IR332" s="1"/>
      <c r="IS332" s="1"/>
      <c r="IT332" s="1"/>
      <c r="IU332" s="1"/>
      <c r="IV332" s="1"/>
    </row>
    <row r="333" spans="1:256" s="10" customFormat="1" x14ac:dyDescent="0.2">
      <c r="A333" s="35">
        <f t="shared" si="35"/>
        <v>316</v>
      </c>
      <c r="B333" s="36">
        <f t="shared" si="34"/>
        <v>51592</v>
      </c>
      <c r="C333" s="37">
        <f t="shared" si="41"/>
        <v>2792.7856914692766</v>
      </c>
      <c r="D333" s="38">
        <f t="shared" si="36"/>
        <v>610285.41935358674</v>
      </c>
      <c r="IP333" s="1"/>
      <c r="IQ333" s="1"/>
      <c r="IR333" s="1"/>
      <c r="IS333" s="1"/>
      <c r="IT333" s="1"/>
      <c r="IU333" s="1"/>
      <c r="IV333" s="1"/>
    </row>
    <row r="334" spans="1:256" s="10" customFormat="1" x14ac:dyDescent="0.2">
      <c r="A334" s="35">
        <f t="shared" si="35"/>
        <v>317</v>
      </c>
      <c r="B334" s="36">
        <f t="shared" si="34"/>
        <v>51622</v>
      </c>
      <c r="C334" s="37">
        <f t="shared" si="41"/>
        <v>2792.7856914692766</v>
      </c>
      <c r="D334" s="38">
        <f t="shared" si="36"/>
        <v>613078.20504505606</v>
      </c>
      <c r="IP334" s="1"/>
      <c r="IQ334" s="1"/>
      <c r="IR334" s="1"/>
      <c r="IS334" s="1"/>
      <c r="IT334" s="1"/>
      <c r="IU334" s="1"/>
      <c r="IV334" s="1"/>
    </row>
    <row r="335" spans="1:256" s="10" customFormat="1" x14ac:dyDescent="0.2">
      <c r="A335" s="35">
        <f t="shared" si="35"/>
        <v>318</v>
      </c>
      <c r="B335" s="36">
        <f t="shared" si="34"/>
        <v>51653</v>
      </c>
      <c r="C335" s="37">
        <f t="shared" si="41"/>
        <v>2792.7856914692766</v>
      </c>
      <c r="D335" s="38">
        <f t="shared" si="36"/>
        <v>615870.99073652539</v>
      </c>
      <c r="IP335" s="1"/>
      <c r="IQ335" s="1"/>
      <c r="IR335" s="1"/>
      <c r="IS335" s="1"/>
      <c r="IT335" s="1"/>
      <c r="IU335" s="1"/>
      <c r="IV335" s="1"/>
    </row>
    <row r="336" spans="1:256" s="10" customFormat="1" x14ac:dyDescent="0.2">
      <c r="A336" s="35">
        <f t="shared" si="35"/>
        <v>319</v>
      </c>
      <c r="B336" s="36">
        <f t="shared" si="34"/>
        <v>51683</v>
      </c>
      <c r="C336" s="37">
        <f t="shared" si="41"/>
        <v>2792.7856914692766</v>
      </c>
      <c r="D336" s="38">
        <f t="shared" si="36"/>
        <v>618663.77642799472</v>
      </c>
      <c r="IP336" s="1"/>
      <c r="IQ336" s="1"/>
      <c r="IR336" s="1"/>
      <c r="IS336" s="1"/>
      <c r="IT336" s="1"/>
      <c r="IU336" s="1"/>
      <c r="IV336" s="1"/>
    </row>
    <row r="337" spans="1:256" s="10" customFormat="1" x14ac:dyDescent="0.2">
      <c r="A337" s="35">
        <f t="shared" si="35"/>
        <v>320</v>
      </c>
      <c r="B337" s="36">
        <f t="shared" si="34"/>
        <v>51714</v>
      </c>
      <c r="C337" s="37">
        <f t="shared" si="41"/>
        <v>2792.7856914692766</v>
      </c>
      <c r="D337" s="38">
        <f t="shared" si="36"/>
        <v>621456.56211946404</v>
      </c>
      <c r="IP337" s="1"/>
      <c r="IQ337" s="1"/>
      <c r="IR337" s="1"/>
      <c r="IS337" s="1"/>
      <c r="IT337" s="1"/>
      <c r="IU337" s="1"/>
      <c r="IV337" s="1"/>
    </row>
    <row r="338" spans="1:256" s="10" customFormat="1" x14ac:dyDescent="0.2">
      <c r="A338" s="35">
        <f t="shared" si="35"/>
        <v>321</v>
      </c>
      <c r="B338" s="36">
        <f t="shared" ref="B338:B401" si="42">IF(Pay_Num&lt;&gt;"",DATE(YEAR(Loan_Start),MONTH(Loan_Start)+(Pay_Num)*12/Num_Pmt_Per_Year,DAY(Loan_Start)),"")</f>
        <v>51745</v>
      </c>
      <c r="C338" s="37">
        <f t="shared" si="41"/>
        <v>2792.7856914692766</v>
      </c>
      <c r="D338" s="38">
        <f t="shared" si="36"/>
        <v>624249.34781093337</v>
      </c>
      <c r="IP338" s="1"/>
      <c r="IQ338" s="1"/>
      <c r="IR338" s="1"/>
      <c r="IS338" s="1"/>
      <c r="IT338" s="1"/>
      <c r="IU338" s="1"/>
      <c r="IV338" s="1"/>
    </row>
    <row r="339" spans="1:256" s="10" customFormat="1" x14ac:dyDescent="0.2">
      <c r="A339" s="35">
        <f t="shared" ref="A339:A402" si="43">IF(Values_Entered,A338+1,"")</f>
        <v>322</v>
      </c>
      <c r="B339" s="36">
        <f t="shared" si="42"/>
        <v>51775</v>
      </c>
      <c r="C339" s="37">
        <f t="shared" si="41"/>
        <v>2792.7856914692766</v>
      </c>
      <c r="D339" s="38">
        <f t="shared" ref="D339:D377" si="44">D338+C339</f>
        <v>627042.13350240269</v>
      </c>
      <c r="IP339" s="1"/>
      <c r="IQ339" s="1"/>
      <c r="IR339" s="1"/>
      <c r="IS339" s="1"/>
      <c r="IT339" s="1"/>
      <c r="IU339" s="1"/>
      <c r="IV339" s="1"/>
    </row>
    <row r="340" spans="1:256" s="10" customFormat="1" x14ac:dyDescent="0.2">
      <c r="A340" s="35">
        <f t="shared" si="43"/>
        <v>323</v>
      </c>
      <c r="B340" s="36">
        <f t="shared" si="42"/>
        <v>51806</v>
      </c>
      <c r="C340" s="37">
        <f t="shared" si="41"/>
        <v>2792.7856914692766</v>
      </c>
      <c r="D340" s="38">
        <f t="shared" si="44"/>
        <v>629834.91919387202</v>
      </c>
      <c r="IP340" s="1"/>
      <c r="IQ340" s="1"/>
      <c r="IR340" s="1"/>
      <c r="IS340" s="1"/>
      <c r="IT340" s="1"/>
      <c r="IU340" s="1"/>
      <c r="IV340" s="1"/>
    </row>
    <row r="341" spans="1:256" s="10" customFormat="1" x14ac:dyDescent="0.2">
      <c r="A341" s="35">
        <f t="shared" si="43"/>
        <v>324</v>
      </c>
      <c r="B341" s="36">
        <f t="shared" si="42"/>
        <v>51836</v>
      </c>
      <c r="C341" s="37">
        <f t="shared" si="41"/>
        <v>2792.7856914692766</v>
      </c>
      <c r="D341" s="38">
        <f t="shared" si="44"/>
        <v>632627.70488534134</v>
      </c>
      <c r="IP341" s="1"/>
      <c r="IQ341" s="1"/>
      <c r="IR341" s="1"/>
      <c r="IS341" s="1"/>
      <c r="IT341" s="1"/>
      <c r="IU341" s="1"/>
      <c r="IV341" s="1"/>
    </row>
    <row r="342" spans="1:256" s="10" customFormat="1" x14ac:dyDescent="0.2">
      <c r="A342" s="35">
        <f t="shared" si="43"/>
        <v>325</v>
      </c>
      <c r="B342" s="36">
        <f t="shared" si="42"/>
        <v>51867</v>
      </c>
      <c r="C342" s="37">
        <f>C341*(1+$D$6)</f>
        <v>2876.5692622133552</v>
      </c>
      <c r="D342" s="38">
        <f t="shared" si="44"/>
        <v>635504.27414755465</v>
      </c>
      <c r="IP342" s="1"/>
      <c r="IQ342" s="1"/>
      <c r="IR342" s="1"/>
      <c r="IS342" s="1"/>
      <c r="IT342" s="1"/>
      <c r="IU342" s="1"/>
      <c r="IV342" s="1"/>
    </row>
    <row r="343" spans="1:256" s="10" customFormat="1" x14ac:dyDescent="0.2">
      <c r="A343" s="35">
        <f t="shared" si="43"/>
        <v>326</v>
      </c>
      <c r="B343" s="36">
        <f t="shared" si="42"/>
        <v>51898</v>
      </c>
      <c r="C343" s="37">
        <f t="shared" ref="C343:C353" si="45">C342</f>
        <v>2876.5692622133552</v>
      </c>
      <c r="D343" s="38">
        <f t="shared" si="44"/>
        <v>638380.84340976796</v>
      </c>
      <c r="IP343" s="1"/>
      <c r="IQ343" s="1"/>
      <c r="IR343" s="1"/>
      <c r="IS343" s="1"/>
      <c r="IT343" s="1"/>
      <c r="IU343" s="1"/>
      <c r="IV343" s="1"/>
    </row>
    <row r="344" spans="1:256" s="10" customFormat="1" x14ac:dyDescent="0.2">
      <c r="A344" s="35">
        <f t="shared" si="43"/>
        <v>327</v>
      </c>
      <c r="B344" s="36">
        <f t="shared" si="42"/>
        <v>51926</v>
      </c>
      <c r="C344" s="37">
        <f t="shared" si="45"/>
        <v>2876.5692622133552</v>
      </c>
      <c r="D344" s="38">
        <f t="shared" si="44"/>
        <v>641257.41267198126</v>
      </c>
      <c r="IP344" s="1"/>
      <c r="IQ344" s="1"/>
      <c r="IR344" s="1"/>
      <c r="IS344" s="1"/>
      <c r="IT344" s="1"/>
      <c r="IU344" s="1"/>
      <c r="IV344" s="1"/>
    </row>
    <row r="345" spans="1:256" s="10" customFormat="1" x14ac:dyDescent="0.2">
      <c r="A345" s="35">
        <f t="shared" si="43"/>
        <v>328</v>
      </c>
      <c r="B345" s="36">
        <f t="shared" si="42"/>
        <v>51957</v>
      </c>
      <c r="C345" s="37">
        <f t="shared" si="45"/>
        <v>2876.5692622133552</v>
      </c>
      <c r="D345" s="38">
        <f t="shared" si="44"/>
        <v>644133.98193419457</v>
      </c>
      <c r="IP345" s="1"/>
      <c r="IQ345" s="1"/>
      <c r="IR345" s="1"/>
      <c r="IS345" s="1"/>
      <c r="IT345" s="1"/>
      <c r="IU345" s="1"/>
      <c r="IV345" s="1"/>
    </row>
    <row r="346" spans="1:256" s="10" customFormat="1" x14ac:dyDescent="0.2">
      <c r="A346" s="35">
        <f t="shared" si="43"/>
        <v>329</v>
      </c>
      <c r="B346" s="36">
        <f t="shared" si="42"/>
        <v>51987</v>
      </c>
      <c r="C346" s="37">
        <f t="shared" si="45"/>
        <v>2876.5692622133552</v>
      </c>
      <c r="D346" s="38">
        <f t="shared" si="44"/>
        <v>647010.55119640788</v>
      </c>
      <c r="IP346" s="1"/>
      <c r="IQ346" s="1"/>
      <c r="IR346" s="1"/>
      <c r="IS346" s="1"/>
      <c r="IT346" s="1"/>
      <c r="IU346" s="1"/>
      <c r="IV346" s="1"/>
    </row>
    <row r="347" spans="1:256" s="10" customFormat="1" x14ac:dyDescent="0.2">
      <c r="A347" s="35">
        <f t="shared" si="43"/>
        <v>330</v>
      </c>
      <c r="B347" s="36">
        <f t="shared" si="42"/>
        <v>52018</v>
      </c>
      <c r="C347" s="37">
        <f t="shared" si="45"/>
        <v>2876.5692622133552</v>
      </c>
      <c r="D347" s="38">
        <f t="shared" si="44"/>
        <v>649887.12045862118</v>
      </c>
      <c r="IP347" s="1"/>
      <c r="IQ347" s="1"/>
      <c r="IR347" s="1"/>
      <c r="IS347" s="1"/>
      <c r="IT347" s="1"/>
      <c r="IU347" s="1"/>
      <c r="IV347" s="1"/>
    </row>
    <row r="348" spans="1:256" s="10" customFormat="1" x14ac:dyDescent="0.2">
      <c r="A348" s="35">
        <f t="shared" si="43"/>
        <v>331</v>
      </c>
      <c r="B348" s="36">
        <f t="shared" si="42"/>
        <v>52048</v>
      </c>
      <c r="C348" s="37">
        <f t="shared" si="45"/>
        <v>2876.5692622133552</v>
      </c>
      <c r="D348" s="38">
        <f t="shared" si="44"/>
        <v>652763.68972083449</v>
      </c>
      <c r="IP348" s="1"/>
      <c r="IQ348" s="1"/>
      <c r="IR348" s="1"/>
      <c r="IS348" s="1"/>
      <c r="IT348" s="1"/>
      <c r="IU348" s="1"/>
      <c r="IV348" s="1"/>
    </row>
    <row r="349" spans="1:256" s="10" customFormat="1" x14ac:dyDescent="0.2">
      <c r="A349" s="35">
        <f t="shared" si="43"/>
        <v>332</v>
      </c>
      <c r="B349" s="36">
        <f t="shared" si="42"/>
        <v>52079</v>
      </c>
      <c r="C349" s="37">
        <f t="shared" si="45"/>
        <v>2876.5692622133552</v>
      </c>
      <c r="D349" s="38">
        <f t="shared" si="44"/>
        <v>655640.2589830478</v>
      </c>
      <c r="IP349" s="1"/>
      <c r="IQ349" s="1"/>
      <c r="IR349" s="1"/>
      <c r="IS349" s="1"/>
      <c r="IT349" s="1"/>
      <c r="IU349" s="1"/>
      <c r="IV349" s="1"/>
    </row>
    <row r="350" spans="1:256" s="10" customFormat="1" x14ac:dyDescent="0.2">
      <c r="A350" s="35">
        <f t="shared" si="43"/>
        <v>333</v>
      </c>
      <c r="B350" s="36">
        <f t="shared" si="42"/>
        <v>52110</v>
      </c>
      <c r="C350" s="37">
        <f t="shared" si="45"/>
        <v>2876.5692622133552</v>
      </c>
      <c r="D350" s="38">
        <f t="shared" si="44"/>
        <v>658516.8282452611</v>
      </c>
      <c r="IP350" s="1"/>
      <c r="IQ350" s="1"/>
      <c r="IR350" s="1"/>
      <c r="IS350" s="1"/>
      <c r="IT350" s="1"/>
      <c r="IU350" s="1"/>
      <c r="IV350" s="1"/>
    </row>
    <row r="351" spans="1:256" s="10" customFormat="1" x14ac:dyDescent="0.2">
      <c r="A351" s="35">
        <f t="shared" si="43"/>
        <v>334</v>
      </c>
      <c r="B351" s="36">
        <f t="shared" si="42"/>
        <v>52140</v>
      </c>
      <c r="C351" s="37">
        <f t="shared" si="45"/>
        <v>2876.5692622133552</v>
      </c>
      <c r="D351" s="38">
        <f t="shared" si="44"/>
        <v>661393.39750747441</v>
      </c>
      <c r="IP351" s="1"/>
      <c r="IQ351" s="1"/>
      <c r="IR351" s="1"/>
      <c r="IS351" s="1"/>
      <c r="IT351" s="1"/>
      <c r="IU351" s="1"/>
      <c r="IV351" s="1"/>
    </row>
    <row r="352" spans="1:256" s="10" customFormat="1" x14ac:dyDescent="0.2">
      <c r="A352" s="35">
        <f t="shared" si="43"/>
        <v>335</v>
      </c>
      <c r="B352" s="36">
        <f t="shared" si="42"/>
        <v>52171</v>
      </c>
      <c r="C352" s="37">
        <f t="shared" si="45"/>
        <v>2876.5692622133552</v>
      </c>
      <c r="D352" s="38">
        <f t="shared" si="44"/>
        <v>664269.96676968771</v>
      </c>
      <c r="IP352" s="1"/>
      <c r="IQ352" s="1"/>
      <c r="IR352" s="1"/>
      <c r="IS352" s="1"/>
      <c r="IT352" s="1"/>
      <c r="IU352" s="1"/>
      <c r="IV352" s="1"/>
    </row>
    <row r="353" spans="1:256" s="10" customFormat="1" x14ac:dyDescent="0.2">
      <c r="A353" s="35">
        <f t="shared" si="43"/>
        <v>336</v>
      </c>
      <c r="B353" s="36">
        <f t="shared" si="42"/>
        <v>52201</v>
      </c>
      <c r="C353" s="37">
        <f t="shared" si="45"/>
        <v>2876.5692622133552</v>
      </c>
      <c r="D353" s="38">
        <f t="shared" si="44"/>
        <v>667146.53603190102</v>
      </c>
      <c r="IP353" s="1"/>
      <c r="IQ353" s="1"/>
      <c r="IR353" s="1"/>
      <c r="IS353" s="1"/>
      <c r="IT353" s="1"/>
      <c r="IU353" s="1"/>
      <c r="IV353" s="1"/>
    </row>
    <row r="354" spans="1:256" s="10" customFormat="1" x14ac:dyDescent="0.2">
      <c r="A354" s="35">
        <f t="shared" si="43"/>
        <v>337</v>
      </c>
      <c r="B354" s="36">
        <f t="shared" si="42"/>
        <v>52232</v>
      </c>
      <c r="C354" s="37">
        <f>C353*(1+$D$6)</f>
        <v>2962.8663400797559</v>
      </c>
      <c r="D354" s="38">
        <f t="shared" si="44"/>
        <v>670109.40237198083</v>
      </c>
      <c r="IP354" s="1"/>
      <c r="IQ354" s="1"/>
      <c r="IR354" s="1"/>
      <c r="IS354" s="1"/>
      <c r="IT354" s="1"/>
      <c r="IU354" s="1"/>
      <c r="IV354" s="1"/>
    </row>
    <row r="355" spans="1:256" s="10" customFormat="1" x14ac:dyDescent="0.2">
      <c r="A355" s="35">
        <f t="shared" si="43"/>
        <v>338</v>
      </c>
      <c r="B355" s="36">
        <f t="shared" si="42"/>
        <v>52263</v>
      </c>
      <c r="C355" s="37">
        <f t="shared" ref="C355:C365" si="46">C354</f>
        <v>2962.8663400797559</v>
      </c>
      <c r="D355" s="38">
        <f t="shared" si="44"/>
        <v>673072.26871206064</v>
      </c>
      <c r="IP355" s="1"/>
      <c r="IQ355" s="1"/>
      <c r="IR355" s="1"/>
      <c r="IS355" s="1"/>
      <c r="IT355" s="1"/>
      <c r="IU355" s="1"/>
      <c r="IV355" s="1"/>
    </row>
    <row r="356" spans="1:256" s="10" customFormat="1" x14ac:dyDescent="0.2">
      <c r="A356" s="35">
        <f t="shared" si="43"/>
        <v>339</v>
      </c>
      <c r="B356" s="36">
        <f t="shared" si="42"/>
        <v>52291</v>
      </c>
      <c r="C356" s="37">
        <f t="shared" si="46"/>
        <v>2962.8663400797559</v>
      </c>
      <c r="D356" s="38">
        <f t="shared" si="44"/>
        <v>676035.13505214045</v>
      </c>
      <c r="IP356" s="1"/>
      <c r="IQ356" s="1"/>
      <c r="IR356" s="1"/>
      <c r="IS356" s="1"/>
      <c r="IT356" s="1"/>
      <c r="IU356" s="1"/>
      <c r="IV356" s="1"/>
    </row>
    <row r="357" spans="1:256" s="10" customFormat="1" x14ac:dyDescent="0.2">
      <c r="A357" s="35">
        <f t="shared" si="43"/>
        <v>340</v>
      </c>
      <c r="B357" s="36">
        <f t="shared" si="42"/>
        <v>52322</v>
      </c>
      <c r="C357" s="37">
        <f t="shared" si="46"/>
        <v>2962.8663400797559</v>
      </c>
      <c r="D357" s="38">
        <f t="shared" si="44"/>
        <v>678998.00139222026</v>
      </c>
      <c r="IP357" s="1"/>
      <c r="IQ357" s="1"/>
      <c r="IR357" s="1"/>
      <c r="IS357" s="1"/>
      <c r="IT357" s="1"/>
      <c r="IU357" s="1"/>
      <c r="IV357" s="1"/>
    </row>
    <row r="358" spans="1:256" s="10" customFormat="1" x14ac:dyDescent="0.2">
      <c r="A358" s="35">
        <f t="shared" si="43"/>
        <v>341</v>
      </c>
      <c r="B358" s="36">
        <f t="shared" si="42"/>
        <v>52352</v>
      </c>
      <c r="C358" s="37">
        <f t="shared" si="46"/>
        <v>2962.8663400797559</v>
      </c>
      <c r="D358" s="38">
        <f t="shared" si="44"/>
        <v>681960.86773230007</v>
      </c>
      <c r="IP358" s="1"/>
      <c r="IQ358" s="1"/>
      <c r="IR358" s="1"/>
      <c r="IS358" s="1"/>
      <c r="IT358" s="1"/>
      <c r="IU358" s="1"/>
      <c r="IV358" s="1"/>
    </row>
    <row r="359" spans="1:256" s="10" customFormat="1" x14ac:dyDescent="0.2">
      <c r="A359" s="35">
        <f t="shared" si="43"/>
        <v>342</v>
      </c>
      <c r="B359" s="36">
        <f t="shared" si="42"/>
        <v>52383</v>
      </c>
      <c r="C359" s="37">
        <f t="shared" si="46"/>
        <v>2962.8663400797559</v>
      </c>
      <c r="D359" s="38">
        <f t="shared" si="44"/>
        <v>684923.73407237988</v>
      </c>
      <c r="IP359" s="1"/>
      <c r="IQ359" s="1"/>
      <c r="IR359" s="1"/>
      <c r="IS359" s="1"/>
      <c r="IT359" s="1"/>
      <c r="IU359" s="1"/>
      <c r="IV359" s="1"/>
    </row>
    <row r="360" spans="1:256" s="10" customFormat="1" x14ac:dyDescent="0.2">
      <c r="A360" s="35">
        <f t="shared" si="43"/>
        <v>343</v>
      </c>
      <c r="B360" s="36">
        <f t="shared" si="42"/>
        <v>52413</v>
      </c>
      <c r="C360" s="37">
        <f t="shared" si="46"/>
        <v>2962.8663400797559</v>
      </c>
      <c r="D360" s="38">
        <f t="shared" si="44"/>
        <v>687886.60041245969</v>
      </c>
      <c r="IP360" s="1"/>
      <c r="IQ360" s="1"/>
      <c r="IR360" s="1"/>
      <c r="IS360" s="1"/>
      <c r="IT360" s="1"/>
      <c r="IU360" s="1"/>
      <c r="IV360" s="1"/>
    </row>
    <row r="361" spans="1:256" s="10" customFormat="1" x14ac:dyDescent="0.2">
      <c r="A361" s="35">
        <f t="shared" si="43"/>
        <v>344</v>
      </c>
      <c r="B361" s="36">
        <f t="shared" si="42"/>
        <v>52444</v>
      </c>
      <c r="C361" s="37">
        <f t="shared" si="46"/>
        <v>2962.8663400797559</v>
      </c>
      <c r="D361" s="38">
        <f t="shared" si="44"/>
        <v>690849.46675253951</v>
      </c>
      <c r="IP361" s="1"/>
      <c r="IQ361" s="1"/>
      <c r="IR361" s="1"/>
      <c r="IS361" s="1"/>
      <c r="IT361" s="1"/>
      <c r="IU361" s="1"/>
      <c r="IV361" s="1"/>
    </row>
    <row r="362" spans="1:256" s="10" customFormat="1" x14ac:dyDescent="0.2">
      <c r="A362" s="35">
        <f t="shared" si="43"/>
        <v>345</v>
      </c>
      <c r="B362" s="36">
        <f t="shared" si="42"/>
        <v>52475</v>
      </c>
      <c r="C362" s="37">
        <f t="shared" si="46"/>
        <v>2962.8663400797559</v>
      </c>
      <c r="D362" s="38">
        <f t="shared" si="44"/>
        <v>693812.33309261932</v>
      </c>
      <c r="IP362" s="1"/>
      <c r="IQ362" s="1"/>
      <c r="IR362" s="1"/>
      <c r="IS362" s="1"/>
      <c r="IT362" s="1"/>
      <c r="IU362" s="1"/>
      <c r="IV362" s="1"/>
    </row>
    <row r="363" spans="1:256" s="10" customFormat="1" x14ac:dyDescent="0.2">
      <c r="A363" s="35">
        <f t="shared" si="43"/>
        <v>346</v>
      </c>
      <c r="B363" s="36">
        <f t="shared" si="42"/>
        <v>52505</v>
      </c>
      <c r="C363" s="37">
        <f t="shared" si="46"/>
        <v>2962.8663400797559</v>
      </c>
      <c r="D363" s="38">
        <f t="shared" si="44"/>
        <v>696775.19943269913</v>
      </c>
      <c r="IP363" s="1"/>
      <c r="IQ363" s="1"/>
      <c r="IR363" s="1"/>
      <c r="IS363" s="1"/>
      <c r="IT363" s="1"/>
      <c r="IU363" s="1"/>
      <c r="IV363" s="1"/>
    </row>
    <row r="364" spans="1:256" s="10" customFormat="1" x14ac:dyDescent="0.2">
      <c r="A364" s="35">
        <f t="shared" si="43"/>
        <v>347</v>
      </c>
      <c r="B364" s="36">
        <f t="shared" si="42"/>
        <v>52536</v>
      </c>
      <c r="C364" s="37">
        <f t="shared" si="46"/>
        <v>2962.8663400797559</v>
      </c>
      <c r="D364" s="38">
        <f t="shared" si="44"/>
        <v>699738.06577277894</v>
      </c>
      <c r="IP364" s="1"/>
      <c r="IQ364" s="1"/>
      <c r="IR364" s="1"/>
      <c r="IS364" s="1"/>
      <c r="IT364" s="1"/>
      <c r="IU364" s="1"/>
      <c r="IV364" s="1"/>
    </row>
    <row r="365" spans="1:256" s="10" customFormat="1" x14ac:dyDescent="0.2">
      <c r="A365" s="35">
        <f t="shared" si="43"/>
        <v>348</v>
      </c>
      <c r="B365" s="36">
        <f t="shared" si="42"/>
        <v>52566</v>
      </c>
      <c r="C365" s="37">
        <f t="shared" si="46"/>
        <v>2962.8663400797559</v>
      </c>
      <c r="D365" s="38">
        <f t="shared" si="44"/>
        <v>702700.93211285875</v>
      </c>
      <c r="IP365" s="1"/>
      <c r="IQ365" s="1"/>
      <c r="IR365" s="1"/>
      <c r="IS365" s="1"/>
      <c r="IT365" s="1"/>
      <c r="IU365" s="1"/>
      <c r="IV365" s="1"/>
    </row>
    <row r="366" spans="1:256" s="10" customFormat="1" x14ac:dyDescent="0.2">
      <c r="A366" s="35">
        <f t="shared" si="43"/>
        <v>349</v>
      </c>
      <c r="B366" s="36">
        <f t="shared" si="42"/>
        <v>52597</v>
      </c>
      <c r="C366" s="37">
        <f>C365*(1+$D$6)</f>
        <v>3051.7523302821487</v>
      </c>
      <c r="D366" s="38">
        <f t="shared" si="44"/>
        <v>705752.68444314087</v>
      </c>
      <c r="IP366" s="1"/>
      <c r="IQ366" s="1"/>
      <c r="IR366" s="1"/>
      <c r="IS366" s="1"/>
      <c r="IT366" s="1"/>
      <c r="IU366" s="1"/>
      <c r="IV366" s="1"/>
    </row>
    <row r="367" spans="1:256" s="10" customFormat="1" x14ac:dyDescent="0.2">
      <c r="A367" s="35">
        <f t="shared" si="43"/>
        <v>350</v>
      </c>
      <c r="B367" s="36">
        <f t="shared" si="42"/>
        <v>52628</v>
      </c>
      <c r="C367" s="37">
        <f t="shared" ref="C367:C377" si="47">C366</f>
        <v>3051.7523302821487</v>
      </c>
      <c r="D367" s="38">
        <f t="shared" si="44"/>
        <v>708804.43677342299</v>
      </c>
      <c r="IP367" s="1"/>
      <c r="IQ367" s="1"/>
      <c r="IR367" s="1"/>
      <c r="IS367" s="1"/>
      <c r="IT367" s="1"/>
      <c r="IU367" s="1"/>
      <c r="IV367" s="1"/>
    </row>
    <row r="368" spans="1:256" s="10" customFormat="1" x14ac:dyDescent="0.2">
      <c r="A368" s="35">
        <f t="shared" si="43"/>
        <v>351</v>
      </c>
      <c r="B368" s="36">
        <f t="shared" si="42"/>
        <v>52657</v>
      </c>
      <c r="C368" s="37">
        <f t="shared" si="47"/>
        <v>3051.7523302821487</v>
      </c>
      <c r="D368" s="38">
        <f t="shared" si="44"/>
        <v>711856.18910370511</v>
      </c>
      <c r="IP368" s="1"/>
      <c r="IQ368" s="1"/>
      <c r="IR368" s="1"/>
      <c r="IS368" s="1"/>
      <c r="IT368" s="1"/>
      <c r="IU368" s="1"/>
      <c r="IV368" s="1"/>
    </row>
    <row r="369" spans="1:256" s="10" customFormat="1" x14ac:dyDescent="0.2">
      <c r="A369" s="35">
        <f t="shared" si="43"/>
        <v>352</v>
      </c>
      <c r="B369" s="36">
        <f t="shared" si="42"/>
        <v>52688</v>
      </c>
      <c r="C369" s="37">
        <f t="shared" si="47"/>
        <v>3051.7523302821487</v>
      </c>
      <c r="D369" s="38">
        <f t="shared" si="44"/>
        <v>714907.94143398723</v>
      </c>
      <c r="IP369" s="1"/>
      <c r="IQ369" s="1"/>
      <c r="IR369" s="1"/>
      <c r="IS369" s="1"/>
      <c r="IT369" s="1"/>
      <c r="IU369" s="1"/>
      <c r="IV369" s="1"/>
    </row>
    <row r="370" spans="1:256" s="10" customFormat="1" x14ac:dyDescent="0.2">
      <c r="A370" s="35">
        <f t="shared" si="43"/>
        <v>353</v>
      </c>
      <c r="B370" s="36">
        <f t="shared" si="42"/>
        <v>52718</v>
      </c>
      <c r="C370" s="37">
        <f t="shared" si="47"/>
        <v>3051.7523302821487</v>
      </c>
      <c r="D370" s="38">
        <f t="shared" si="44"/>
        <v>717959.69376426935</v>
      </c>
      <c r="IP370" s="1"/>
      <c r="IQ370" s="1"/>
      <c r="IR370" s="1"/>
      <c r="IS370" s="1"/>
      <c r="IT370" s="1"/>
      <c r="IU370" s="1"/>
      <c r="IV370" s="1"/>
    </row>
    <row r="371" spans="1:256" s="10" customFormat="1" x14ac:dyDescent="0.2">
      <c r="A371" s="35">
        <f t="shared" si="43"/>
        <v>354</v>
      </c>
      <c r="B371" s="36">
        <f t="shared" si="42"/>
        <v>52749</v>
      </c>
      <c r="C371" s="37">
        <f t="shared" si="47"/>
        <v>3051.7523302821487</v>
      </c>
      <c r="D371" s="38">
        <f t="shared" si="44"/>
        <v>721011.44609455147</v>
      </c>
      <c r="IP371" s="1"/>
      <c r="IQ371" s="1"/>
      <c r="IR371" s="1"/>
      <c r="IS371" s="1"/>
      <c r="IT371" s="1"/>
      <c r="IU371" s="1"/>
      <c r="IV371" s="1"/>
    </row>
    <row r="372" spans="1:256" s="10" customFormat="1" x14ac:dyDescent="0.2">
      <c r="A372" s="35">
        <f t="shared" si="43"/>
        <v>355</v>
      </c>
      <c r="B372" s="36">
        <f t="shared" si="42"/>
        <v>52779</v>
      </c>
      <c r="C372" s="37">
        <f t="shared" si="47"/>
        <v>3051.7523302821487</v>
      </c>
      <c r="D372" s="38">
        <f t="shared" si="44"/>
        <v>724063.19842483359</v>
      </c>
      <c r="IP372" s="1"/>
      <c r="IQ372" s="1"/>
      <c r="IR372" s="1"/>
      <c r="IS372" s="1"/>
      <c r="IT372" s="1"/>
      <c r="IU372" s="1"/>
      <c r="IV372" s="1"/>
    </row>
    <row r="373" spans="1:256" s="10" customFormat="1" x14ac:dyDescent="0.2">
      <c r="A373" s="35">
        <f t="shared" si="43"/>
        <v>356</v>
      </c>
      <c r="B373" s="36">
        <f t="shared" si="42"/>
        <v>52810</v>
      </c>
      <c r="C373" s="37">
        <f t="shared" si="47"/>
        <v>3051.7523302821487</v>
      </c>
      <c r="D373" s="38">
        <f t="shared" si="44"/>
        <v>727114.95075511571</v>
      </c>
      <c r="IP373" s="1"/>
      <c r="IQ373" s="1"/>
      <c r="IR373" s="1"/>
      <c r="IS373" s="1"/>
      <c r="IT373" s="1"/>
      <c r="IU373" s="1"/>
      <c r="IV373" s="1"/>
    </row>
    <row r="374" spans="1:256" s="10" customFormat="1" x14ac:dyDescent="0.2">
      <c r="A374" s="35">
        <f t="shared" si="43"/>
        <v>357</v>
      </c>
      <c r="B374" s="36">
        <f t="shared" si="42"/>
        <v>52841</v>
      </c>
      <c r="C374" s="37">
        <f t="shared" si="47"/>
        <v>3051.7523302821487</v>
      </c>
      <c r="D374" s="38">
        <f t="shared" si="44"/>
        <v>730166.70308539784</v>
      </c>
      <c r="IP374" s="1"/>
      <c r="IQ374" s="1"/>
      <c r="IR374" s="1"/>
      <c r="IS374" s="1"/>
      <c r="IT374" s="1"/>
      <c r="IU374" s="1"/>
      <c r="IV374" s="1"/>
    </row>
    <row r="375" spans="1:256" s="10" customFormat="1" x14ac:dyDescent="0.2">
      <c r="A375" s="35">
        <f t="shared" si="43"/>
        <v>358</v>
      </c>
      <c r="B375" s="36">
        <f t="shared" si="42"/>
        <v>52871</v>
      </c>
      <c r="C375" s="37">
        <f t="shared" si="47"/>
        <v>3051.7523302821487</v>
      </c>
      <c r="D375" s="38">
        <f t="shared" si="44"/>
        <v>733218.45541567996</v>
      </c>
      <c r="IP375" s="1"/>
      <c r="IQ375" s="1"/>
      <c r="IR375" s="1"/>
      <c r="IS375" s="1"/>
      <c r="IT375" s="1"/>
      <c r="IU375" s="1"/>
      <c r="IV375" s="1"/>
    </row>
    <row r="376" spans="1:256" s="10" customFormat="1" x14ac:dyDescent="0.2">
      <c r="A376" s="35">
        <f t="shared" si="43"/>
        <v>359</v>
      </c>
      <c r="B376" s="36">
        <f t="shared" si="42"/>
        <v>52902</v>
      </c>
      <c r="C376" s="37">
        <f t="shared" si="47"/>
        <v>3051.7523302821487</v>
      </c>
      <c r="D376" s="38">
        <f t="shared" si="44"/>
        <v>736270.20774596208</v>
      </c>
      <c r="IP376" s="1"/>
      <c r="IQ376" s="1"/>
      <c r="IR376" s="1"/>
      <c r="IS376" s="1"/>
      <c r="IT376" s="1"/>
      <c r="IU376" s="1"/>
      <c r="IV376" s="1"/>
    </row>
    <row r="377" spans="1:256" s="10" customFormat="1" x14ac:dyDescent="0.2">
      <c r="A377" s="35">
        <f t="shared" si="43"/>
        <v>360</v>
      </c>
      <c r="B377" s="36">
        <f t="shared" si="42"/>
        <v>52932</v>
      </c>
      <c r="C377" s="37">
        <f t="shared" si="47"/>
        <v>3051.7523302821487</v>
      </c>
      <c r="D377" s="38">
        <f t="shared" si="44"/>
        <v>739321.9600762442</v>
      </c>
      <c r="IP377" s="1"/>
      <c r="IQ377" s="1"/>
      <c r="IR377" s="1"/>
      <c r="IS377" s="1"/>
      <c r="IT377" s="1"/>
      <c r="IU377" s="1"/>
      <c r="IV377" s="1"/>
    </row>
    <row r="378" spans="1:256" s="10" customFormat="1" x14ac:dyDescent="0.2">
      <c r="A378" s="39">
        <f t="shared" si="43"/>
        <v>361</v>
      </c>
      <c r="B378" s="40">
        <f t="shared" si="42"/>
        <v>52963</v>
      </c>
      <c r="C378" s="41" t="e">
        <f>IF(Pay_Num&lt;&gt;"",#REF!,"")</f>
        <v>#REF!</v>
      </c>
      <c r="D378" s="42" t="e">
        <f>SUM(#REF!)</f>
        <v>#REF!</v>
      </c>
      <c r="IP378" s="1"/>
      <c r="IQ378" s="1"/>
      <c r="IR378" s="1"/>
      <c r="IS378" s="1"/>
      <c r="IT378" s="1"/>
      <c r="IU378" s="1"/>
      <c r="IV378" s="1"/>
    </row>
    <row r="379" spans="1:256" s="10" customFormat="1" x14ac:dyDescent="0.2">
      <c r="A379" s="39">
        <f t="shared" si="43"/>
        <v>362</v>
      </c>
      <c r="B379" s="40">
        <f t="shared" si="42"/>
        <v>52994</v>
      </c>
      <c r="C379" s="41" t="e">
        <f>IF(Pay_Num&lt;&gt;"",#REF!,"")</f>
        <v>#REF!</v>
      </c>
      <c r="D379" s="42" t="e">
        <f>SUM(#REF!)</f>
        <v>#REF!</v>
      </c>
      <c r="IP379" s="1"/>
      <c r="IQ379" s="1"/>
      <c r="IR379" s="1"/>
      <c r="IS379" s="1"/>
      <c r="IT379" s="1"/>
      <c r="IU379" s="1"/>
      <c r="IV379" s="1"/>
    </row>
    <row r="380" spans="1:256" s="10" customFormat="1" x14ac:dyDescent="0.2">
      <c r="A380" s="39">
        <f t="shared" si="43"/>
        <v>363</v>
      </c>
      <c r="B380" s="40">
        <f t="shared" si="42"/>
        <v>53022</v>
      </c>
      <c r="C380" s="41" t="e">
        <f>IF(Pay_Num&lt;&gt;"",#REF!,"")</f>
        <v>#REF!</v>
      </c>
      <c r="D380" s="42" t="e">
        <f>SUM(#REF!)</f>
        <v>#REF!</v>
      </c>
      <c r="IP380" s="1"/>
      <c r="IQ380" s="1"/>
      <c r="IR380" s="1"/>
      <c r="IS380" s="1"/>
      <c r="IT380" s="1"/>
      <c r="IU380" s="1"/>
      <c r="IV380" s="1"/>
    </row>
    <row r="381" spans="1:256" s="10" customFormat="1" x14ac:dyDescent="0.2">
      <c r="A381" s="39">
        <f t="shared" si="43"/>
        <v>364</v>
      </c>
      <c r="B381" s="40">
        <f t="shared" si="42"/>
        <v>53053</v>
      </c>
      <c r="C381" s="41" t="e">
        <f>IF(Pay_Num&lt;&gt;"",#REF!,"")</f>
        <v>#REF!</v>
      </c>
      <c r="D381" s="42" t="e">
        <f>SUM(#REF!)</f>
        <v>#REF!</v>
      </c>
      <c r="IP381" s="1"/>
      <c r="IQ381" s="1"/>
      <c r="IR381" s="1"/>
      <c r="IS381" s="1"/>
      <c r="IT381" s="1"/>
      <c r="IU381" s="1"/>
      <c r="IV381" s="1"/>
    </row>
    <row r="382" spans="1:256" s="10" customFormat="1" x14ac:dyDescent="0.2">
      <c r="A382" s="39">
        <f t="shared" si="43"/>
        <v>365</v>
      </c>
      <c r="B382" s="40">
        <f t="shared" si="42"/>
        <v>53083</v>
      </c>
      <c r="C382" s="41" t="e">
        <f>IF(Pay_Num&lt;&gt;"",#REF!,"")</f>
        <v>#REF!</v>
      </c>
      <c r="D382" s="42" t="e">
        <f>SUM(#REF!)</f>
        <v>#REF!</v>
      </c>
      <c r="IP382" s="1"/>
      <c r="IQ382" s="1"/>
      <c r="IR382" s="1"/>
      <c r="IS382" s="1"/>
      <c r="IT382" s="1"/>
      <c r="IU382" s="1"/>
      <c r="IV382" s="1"/>
    </row>
    <row r="383" spans="1:256" s="10" customFormat="1" x14ac:dyDescent="0.2">
      <c r="A383" s="39">
        <f t="shared" si="43"/>
        <v>366</v>
      </c>
      <c r="B383" s="40">
        <f t="shared" si="42"/>
        <v>53114</v>
      </c>
      <c r="C383" s="41" t="e">
        <f>IF(Pay_Num&lt;&gt;"",#REF!,"")</f>
        <v>#REF!</v>
      </c>
      <c r="D383" s="42" t="e">
        <f>SUM(#REF!)</f>
        <v>#REF!</v>
      </c>
      <c r="IP383" s="1"/>
      <c r="IQ383" s="1"/>
      <c r="IR383" s="1"/>
      <c r="IS383" s="1"/>
      <c r="IT383" s="1"/>
      <c r="IU383" s="1"/>
      <c r="IV383" s="1"/>
    </row>
    <row r="384" spans="1:256" s="10" customFormat="1" x14ac:dyDescent="0.2">
      <c r="A384" s="39">
        <f t="shared" si="43"/>
        <v>367</v>
      </c>
      <c r="B384" s="40">
        <f t="shared" si="42"/>
        <v>53144</v>
      </c>
      <c r="C384" s="41" t="e">
        <f>IF(Pay_Num&lt;&gt;"",#REF!,"")</f>
        <v>#REF!</v>
      </c>
      <c r="D384" s="42" t="e">
        <f>SUM(#REF!)</f>
        <v>#REF!</v>
      </c>
      <c r="IP384" s="1"/>
      <c r="IQ384" s="1"/>
      <c r="IR384" s="1"/>
      <c r="IS384" s="1"/>
      <c r="IT384" s="1"/>
      <c r="IU384" s="1"/>
      <c r="IV384" s="1"/>
    </row>
    <row r="385" spans="1:256" s="10" customFormat="1" x14ac:dyDescent="0.2">
      <c r="A385" s="39">
        <f t="shared" si="43"/>
        <v>368</v>
      </c>
      <c r="B385" s="40">
        <f t="shared" si="42"/>
        <v>53175</v>
      </c>
      <c r="C385" s="41" t="e">
        <f>IF(Pay_Num&lt;&gt;"",#REF!,"")</f>
        <v>#REF!</v>
      </c>
      <c r="D385" s="42" t="e">
        <f>SUM(#REF!)</f>
        <v>#REF!</v>
      </c>
      <c r="IP385" s="1"/>
      <c r="IQ385" s="1"/>
      <c r="IR385" s="1"/>
      <c r="IS385" s="1"/>
      <c r="IT385" s="1"/>
      <c r="IU385" s="1"/>
      <c r="IV385" s="1"/>
    </row>
    <row r="386" spans="1:256" s="10" customFormat="1" x14ac:dyDescent="0.2">
      <c r="A386" s="39">
        <f t="shared" si="43"/>
        <v>369</v>
      </c>
      <c r="B386" s="40">
        <f t="shared" si="42"/>
        <v>53206</v>
      </c>
      <c r="C386" s="41" t="e">
        <f>IF(Pay_Num&lt;&gt;"",#REF!,"")</f>
        <v>#REF!</v>
      </c>
      <c r="D386" s="42" t="e">
        <f>SUM(#REF!)</f>
        <v>#REF!</v>
      </c>
      <c r="IP386" s="1"/>
      <c r="IQ386" s="1"/>
      <c r="IR386" s="1"/>
      <c r="IS386" s="1"/>
      <c r="IT386" s="1"/>
      <c r="IU386" s="1"/>
      <c r="IV386" s="1"/>
    </row>
    <row r="387" spans="1:256" s="10" customFormat="1" x14ac:dyDescent="0.2">
      <c r="A387" s="39">
        <f t="shared" si="43"/>
        <v>370</v>
      </c>
      <c r="B387" s="40">
        <f t="shared" si="42"/>
        <v>53236</v>
      </c>
      <c r="C387" s="41" t="e">
        <f>IF(Pay_Num&lt;&gt;"",#REF!,"")</f>
        <v>#REF!</v>
      </c>
      <c r="D387" s="42" t="e">
        <f>SUM(#REF!)</f>
        <v>#REF!</v>
      </c>
      <c r="IP387" s="1"/>
      <c r="IQ387" s="1"/>
      <c r="IR387" s="1"/>
      <c r="IS387" s="1"/>
      <c r="IT387" s="1"/>
      <c r="IU387" s="1"/>
      <c r="IV387" s="1"/>
    </row>
    <row r="388" spans="1:256" s="10" customFormat="1" x14ac:dyDescent="0.2">
      <c r="A388" s="39">
        <f t="shared" si="43"/>
        <v>371</v>
      </c>
      <c r="B388" s="40">
        <f t="shared" si="42"/>
        <v>53267</v>
      </c>
      <c r="C388" s="41" t="e">
        <f>IF(Pay_Num&lt;&gt;"",#REF!,"")</f>
        <v>#REF!</v>
      </c>
      <c r="D388" s="42" t="e">
        <f>SUM(#REF!)</f>
        <v>#REF!</v>
      </c>
      <c r="IP388" s="1"/>
      <c r="IQ388" s="1"/>
      <c r="IR388" s="1"/>
      <c r="IS388" s="1"/>
      <c r="IT388" s="1"/>
      <c r="IU388" s="1"/>
      <c r="IV388" s="1"/>
    </row>
    <row r="389" spans="1:256" s="10" customFormat="1" x14ac:dyDescent="0.2">
      <c r="A389" s="39">
        <f t="shared" si="43"/>
        <v>372</v>
      </c>
      <c r="B389" s="40">
        <f t="shared" si="42"/>
        <v>53297</v>
      </c>
      <c r="C389" s="41" t="e">
        <f>IF(Pay_Num&lt;&gt;"",#REF!,"")</f>
        <v>#REF!</v>
      </c>
      <c r="D389" s="42" t="e">
        <f>SUM(#REF!)</f>
        <v>#REF!</v>
      </c>
      <c r="IP389" s="1"/>
      <c r="IQ389" s="1"/>
      <c r="IR389" s="1"/>
      <c r="IS389" s="1"/>
      <c r="IT389" s="1"/>
      <c r="IU389" s="1"/>
      <c r="IV389" s="1"/>
    </row>
    <row r="390" spans="1:256" s="10" customFormat="1" x14ac:dyDescent="0.2">
      <c r="A390" s="39">
        <f t="shared" si="43"/>
        <v>373</v>
      </c>
      <c r="B390" s="40">
        <f t="shared" si="42"/>
        <v>53328</v>
      </c>
      <c r="C390" s="41" t="e">
        <f>IF(Pay_Num&lt;&gt;"",#REF!,"")</f>
        <v>#REF!</v>
      </c>
      <c r="D390" s="42" t="e">
        <f>SUM(#REF!)</f>
        <v>#REF!</v>
      </c>
      <c r="IP390" s="1"/>
      <c r="IQ390" s="1"/>
      <c r="IR390" s="1"/>
      <c r="IS390" s="1"/>
      <c r="IT390" s="1"/>
      <c r="IU390" s="1"/>
      <c r="IV390" s="1"/>
    </row>
    <row r="391" spans="1:256" s="10" customFormat="1" x14ac:dyDescent="0.2">
      <c r="A391" s="39">
        <f t="shared" si="43"/>
        <v>374</v>
      </c>
      <c r="B391" s="40">
        <f t="shared" si="42"/>
        <v>53359</v>
      </c>
      <c r="C391" s="41" t="e">
        <f>IF(Pay_Num&lt;&gt;"",#REF!,"")</f>
        <v>#REF!</v>
      </c>
      <c r="D391" s="42" t="e">
        <f>SUM(#REF!)</f>
        <v>#REF!</v>
      </c>
      <c r="IP391" s="1"/>
      <c r="IQ391" s="1"/>
      <c r="IR391" s="1"/>
      <c r="IS391" s="1"/>
      <c r="IT391" s="1"/>
      <c r="IU391" s="1"/>
      <c r="IV391" s="1"/>
    </row>
    <row r="392" spans="1:256" s="10" customFormat="1" x14ac:dyDescent="0.2">
      <c r="A392" s="39">
        <f t="shared" si="43"/>
        <v>375</v>
      </c>
      <c r="B392" s="40">
        <f t="shared" si="42"/>
        <v>53387</v>
      </c>
      <c r="C392" s="41" t="e">
        <f>IF(Pay_Num&lt;&gt;"",#REF!,"")</f>
        <v>#REF!</v>
      </c>
      <c r="D392" s="42" t="e">
        <f>SUM(#REF!)</f>
        <v>#REF!</v>
      </c>
      <c r="IP392" s="1"/>
      <c r="IQ392" s="1"/>
      <c r="IR392" s="1"/>
      <c r="IS392" s="1"/>
      <c r="IT392" s="1"/>
      <c r="IU392" s="1"/>
      <c r="IV392" s="1"/>
    </row>
    <row r="393" spans="1:256" s="10" customFormat="1" x14ac:dyDescent="0.2">
      <c r="A393" s="39">
        <f t="shared" si="43"/>
        <v>376</v>
      </c>
      <c r="B393" s="40">
        <f t="shared" si="42"/>
        <v>53418</v>
      </c>
      <c r="C393" s="41" t="e">
        <f>IF(Pay_Num&lt;&gt;"",#REF!,"")</f>
        <v>#REF!</v>
      </c>
      <c r="D393" s="42" t="e">
        <f>SUM(#REF!)</f>
        <v>#REF!</v>
      </c>
      <c r="IP393" s="1"/>
      <c r="IQ393" s="1"/>
      <c r="IR393" s="1"/>
      <c r="IS393" s="1"/>
      <c r="IT393" s="1"/>
      <c r="IU393" s="1"/>
      <c r="IV393" s="1"/>
    </row>
    <row r="394" spans="1:256" s="10" customFormat="1" x14ac:dyDescent="0.2">
      <c r="A394" s="39">
        <f t="shared" si="43"/>
        <v>377</v>
      </c>
      <c r="B394" s="40">
        <f t="shared" si="42"/>
        <v>53448</v>
      </c>
      <c r="C394" s="41" t="e">
        <f>IF(Pay_Num&lt;&gt;"",#REF!,"")</f>
        <v>#REF!</v>
      </c>
      <c r="D394" s="42" t="e">
        <f>SUM(#REF!)</f>
        <v>#REF!</v>
      </c>
      <c r="IP394" s="1"/>
      <c r="IQ394" s="1"/>
      <c r="IR394" s="1"/>
      <c r="IS394" s="1"/>
      <c r="IT394" s="1"/>
      <c r="IU394" s="1"/>
      <c r="IV394" s="1"/>
    </row>
    <row r="395" spans="1:256" s="10" customFormat="1" x14ac:dyDescent="0.2">
      <c r="A395" s="39">
        <f t="shared" si="43"/>
        <v>378</v>
      </c>
      <c r="B395" s="40">
        <f t="shared" si="42"/>
        <v>53479</v>
      </c>
      <c r="C395" s="41" t="e">
        <f>IF(Pay_Num&lt;&gt;"",#REF!,"")</f>
        <v>#REF!</v>
      </c>
      <c r="D395" s="42" t="e">
        <f>SUM(#REF!)</f>
        <v>#REF!</v>
      </c>
      <c r="IP395" s="1"/>
      <c r="IQ395" s="1"/>
      <c r="IR395" s="1"/>
      <c r="IS395" s="1"/>
      <c r="IT395" s="1"/>
      <c r="IU395" s="1"/>
      <c r="IV395" s="1"/>
    </row>
    <row r="396" spans="1:256" s="10" customFormat="1" x14ac:dyDescent="0.2">
      <c r="A396" s="39">
        <f t="shared" si="43"/>
        <v>379</v>
      </c>
      <c r="B396" s="40">
        <f t="shared" si="42"/>
        <v>53509</v>
      </c>
      <c r="C396" s="41" t="e">
        <f>IF(Pay_Num&lt;&gt;"",#REF!,"")</f>
        <v>#REF!</v>
      </c>
      <c r="D396" s="42" t="e">
        <f>SUM(#REF!)</f>
        <v>#REF!</v>
      </c>
      <c r="IP396" s="1"/>
      <c r="IQ396" s="1"/>
      <c r="IR396" s="1"/>
      <c r="IS396" s="1"/>
      <c r="IT396" s="1"/>
      <c r="IU396" s="1"/>
      <c r="IV396" s="1"/>
    </row>
    <row r="397" spans="1:256" s="10" customFormat="1" x14ac:dyDescent="0.2">
      <c r="A397" s="39">
        <f t="shared" si="43"/>
        <v>380</v>
      </c>
      <c r="B397" s="40">
        <f t="shared" si="42"/>
        <v>53540</v>
      </c>
      <c r="C397" s="41" t="e">
        <f>IF(Pay_Num&lt;&gt;"",#REF!,"")</f>
        <v>#REF!</v>
      </c>
      <c r="D397" s="42" t="e">
        <f>SUM(#REF!)</f>
        <v>#REF!</v>
      </c>
      <c r="IP397" s="1"/>
      <c r="IQ397" s="1"/>
      <c r="IR397" s="1"/>
      <c r="IS397" s="1"/>
      <c r="IT397" s="1"/>
      <c r="IU397" s="1"/>
      <c r="IV397" s="1"/>
    </row>
    <row r="398" spans="1:256" s="10" customFormat="1" x14ac:dyDescent="0.2">
      <c r="A398" s="39">
        <f t="shared" si="43"/>
        <v>381</v>
      </c>
      <c r="B398" s="40">
        <f t="shared" si="42"/>
        <v>53571</v>
      </c>
      <c r="C398" s="41" t="e">
        <f>IF(Pay_Num&lt;&gt;"",#REF!,"")</f>
        <v>#REF!</v>
      </c>
      <c r="D398" s="42" t="e">
        <f>SUM(#REF!)</f>
        <v>#REF!</v>
      </c>
      <c r="IP398" s="1"/>
      <c r="IQ398" s="1"/>
      <c r="IR398" s="1"/>
      <c r="IS398" s="1"/>
      <c r="IT398" s="1"/>
      <c r="IU398" s="1"/>
      <c r="IV398" s="1"/>
    </row>
    <row r="399" spans="1:256" s="10" customFormat="1" x14ac:dyDescent="0.2">
      <c r="A399" s="39">
        <f t="shared" si="43"/>
        <v>382</v>
      </c>
      <c r="B399" s="40">
        <f t="shared" si="42"/>
        <v>53601</v>
      </c>
      <c r="C399" s="41" t="e">
        <f>IF(Pay_Num&lt;&gt;"",#REF!,"")</f>
        <v>#REF!</v>
      </c>
      <c r="D399" s="42" t="e">
        <f>SUM(#REF!)</f>
        <v>#REF!</v>
      </c>
      <c r="IP399" s="1"/>
      <c r="IQ399" s="1"/>
      <c r="IR399" s="1"/>
      <c r="IS399" s="1"/>
      <c r="IT399" s="1"/>
      <c r="IU399" s="1"/>
      <c r="IV399" s="1"/>
    </row>
    <row r="400" spans="1:256" s="10" customFormat="1" x14ac:dyDescent="0.2">
      <c r="A400" s="39">
        <f t="shared" si="43"/>
        <v>383</v>
      </c>
      <c r="B400" s="40">
        <f t="shared" si="42"/>
        <v>53632</v>
      </c>
      <c r="C400" s="41" t="e">
        <f>IF(Pay_Num&lt;&gt;"",#REF!,"")</f>
        <v>#REF!</v>
      </c>
      <c r="D400" s="42" t="e">
        <f>SUM(#REF!)</f>
        <v>#REF!</v>
      </c>
      <c r="IP400" s="1"/>
      <c r="IQ400" s="1"/>
      <c r="IR400" s="1"/>
      <c r="IS400" s="1"/>
      <c r="IT400" s="1"/>
      <c r="IU400" s="1"/>
      <c r="IV400" s="1"/>
    </row>
    <row r="401" spans="1:256" s="10" customFormat="1" x14ac:dyDescent="0.2">
      <c r="A401" s="39">
        <f t="shared" si="43"/>
        <v>384</v>
      </c>
      <c r="B401" s="40">
        <f t="shared" si="42"/>
        <v>53662</v>
      </c>
      <c r="C401" s="41" t="e">
        <f>IF(Pay_Num&lt;&gt;"",#REF!,"")</f>
        <v>#REF!</v>
      </c>
      <c r="D401" s="42" t="e">
        <f>SUM(#REF!)</f>
        <v>#REF!</v>
      </c>
      <c r="IP401" s="1"/>
      <c r="IQ401" s="1"/>
      <c r="IR401" s="1"/>
      <c r="IS401" s="1"/>
      <c r="IT401" s="1"/>
      <c r="IU401" s="1"/>
      <c r="IV401" s="1"/>
    </row>
    <row r="402" spans="1:256" s="10" customFormat="1" x14ac:dyDescent="0.2">
      <c r="A402" s="39">
        <f t="shared" si="43"/>
        <v>385</v>
      </c>
      <c r="B402" s="40">
        <f t="shared" ref="B402:B465" si="48">IF(Pay_Num&lt;&gt;"",DATE(YEAR(Loan_Start),MONTH(Loan_Start)+(Pay_Num)*12/Num_Pmt_Per_Year,DAY(Loan_Start)),"")</f>
        <v>53693</v>
      </c>
      <c r="C402" s="41" t="e">
        <f>IF(Pay_Num&lt;&gt;"",#REF!,"")</f>
        <v>#REF!</v>
      </c>
      <c r="D402" s="42" t="e">
        <f>SUM(#REF!)</f>
        <v>#REF!</v>
      </c>
      <c r="IP402" s="1"/>
      <c r="IQ402" s="1"/>
      <c r="IR402" s="1"/>
      <c r="IS402" s="1"/>
      <c r="IT402" s="1"/>
      <c r="IU402" s="1"/>
      <c r="IV402" s="1"/>
    </row>
    <row r="403" spans="1:256" s="10" customFormat="1" x14ac:dyDescent="0.2">
      <c r="A403" s="39">
        <f t="shared" ref="A403:A466" si="49">IF(Values_Entered,A402+1,"")</f>
        <v>386</v>
      </c>
      <c r="B403" s="40">
        <f t="shared" si="48"/>
        <v>53724</v>
      </c>
      <c r="C403" s="41" t="e">
        <f>IF(Pay_Num&lt;&gt;"",#REF!,"")</f>
        <v>#REF!</v>
      </c>
      <c r="D403" s="42" t="e">
        <f>SUM(#REF!)</f>
        <v>#REF!</v>
      </c>
      <c r="IP403" s="1"/>
      <c r="IQ403" s="1"/>
      <c r="IR403" s="1"/>
      <c r="IS403" s="1"/>
      <c r="IT403" s="1"/>
      <c r="IU403" s="1"/>
      <c r="IV403" s="1"/>
    </row>
    <row r="404" spans="1:256" s="10" customFormat="1" x14ac:dyDescent="0.2">
      <c r="A404" s="39">
        <f t="shared" si="49"/>
        <v>387</v>
      </c>
      <c r="B404" s="40">
        <f t="shared" si="48"/>
        <v>53752</v>
      </c>
      <c r="C404" s="41" t="e">
        <f>IF(Pay_Num&lt;&gt;"",#REF!,"")</f>
        <v>#REF!</v>
      </c>
      <c r="D404" s="42" t="e">
        <f>SUM(#REF!)</f>
        <v>#REF!</v>
      </c>
      <c r="IP404" s="1"/>
      <c r="IQ404" s="1"/>
      <c r="IR404" s="1"/>
      <c r="IS404" s="1"/>
      <c r="IT404" s="1"/>
      <c r="IU404" s="1"/>
      <c r="IV404" s="1"/>
    </row>
    <row r="405" spans="1:256" s="10" customFormat="1" x14ac:dyDescent="0.2">
      <c r="A405" s="39">
        <f t="shared" si="49"/>
        <v>388</v>
      </c>
      <c r="B405" s="40">
        <f t="shared" si="48"/>
        <v>53783</v>
      </c>
      <c r="C405" s="41" t="e">
        <f>IF(Pay_Num&lt;&gt;"",#REF!,"")</f>
        <v>#REF!</v>
      </c>
      <c r="D405" s="42" t="e">
        <f>SUM(#REF!)</f>
        <v>#REF!</v>
      </c>
      <c r="IP405" s="1"/>
      <c r="IQ405" s="1"/>
      <c r="IR405" s="1"/>
      <c r="IS405" s="1"/>
      <c r="IT405" s="1"/>
      <c r="IU405" s="1"/>
      <c r="IV405" s="1"/>
    </row>
    <row r="406" spans="1:256" s="10" customFormat="1" x14ac:dyDescent="0.2">
      <c r="A406" s="39">
        <f t="shared" si="49"/>
        <v>389</v>
      </c>
      <c r="B406" s="40">
        <f t="shared" si="48"/>
        <v>53813</v>
      </c>
      <c r="C406" s="41" t="e">
        <f>IF(Pay_Num&lt;&gt;"",#REF!,"")</f>
        <v>#REF!</v>
      </c>
      <c r="D406" s="42" t="e">
        <f>SUM(#REF!)</f>
        <v>#REF!</v>
      </c>
      <c r="IP406" s="1"/>
      <c r="IQ406" s="1"/>
      <c r="IR406" s="1"/>
      <c r="IS406" s="1"/>
      <c r="IT406" s="1"/>
      <c r="IU406" s="1"/>
      <c r="IV406" s="1"/>
    </row>
    <row r="407" spans="1:256" s="10" customFormat="1" x14ac:dyDescent="0.2">
      <c r="A407" s="39">
        <f t="shared" si="49"/>
        <v>390</v>
      </c>
      <c r="B407" s="40">
        <f t="shared" si="48"/>
        <v>53844</v>
      </c>
      <c r="C407" s="41" t="e">
        <f>IF(Pay_Num&lt;&gt;"",#REF!,"")</f>
        <v>#REF!</v>
      </c>
      <c r="D407" s="42" t="e">
        <f>SUM(#REF!)</f>
        <v>#REF!</v>
      </c>
      <c r="IP407" s="1"/>
      <c r="IQ407" s="1"/>
      <c r="IR407" s="1"/>
      <c r="IS407" s="1"/>
      <c r="IT407" s="1"/>
      <c r="IU407" s="1"/>
      <c r="IV407" s="1"/>
    </row>
    <row r="408" spans="1:256" s="10" customFormat="1" x14ac:dyDescent="0.2">
      <c r="A408" s="39">
        <f t="shared" si="49"/>
        <v>391</v>
      </c>
      <c r="B408" s="40">
        <f t="shared" si="48"/>
        <v>53874</v>
      </c>
      <c r="C408" s="41" t="e">
        <f>IF(Pay_Num&lt;&gt;"",#REF!,"")</f>
        <v>#REF!</v>
      </c>
      <c r="D408" s="42" t="e">
        <f>SUM(#REF!)</f>
        <v>#REF!</v>
      </c>
      <c r="IP408" s="1"/>
      <c r="IQ408" s="1"/>
      <c r="IR408" s="1"/>
      <c r="IS408" s="1"/>
      <c r="IT408" s="1"/>
      <c r="IU408" s="1"/>
      <c r="IV408" s="1"/>
    </row>
    <row r="409" spans="1:256" s="10" customFormat="1" x14ac:dyDescent="0.2">
      <c r="A409" s="39">
        <f t="shared" si="49"/>
        <v>392</v>
      </c>
      <c r="B409" s="40">
        <f t="shared" si="48"/>
        <v>53905</v>
      </c>
      <c r="C409" s="41" t="e">
        <f>IF(Pay_Num&lt;&gt;"",#REF!,"")</f>
        <v>#REF!</v>
      </c>
      <c r="D409" s="42" t="e">
        <f>SUM(#REF!)</f>
        <v>#REF!</v>
      </c>
      <c r="IP409" s="1"/>
      <c r="IQ409" s="1"/>
      <c r="IR409" s="1"/>
      <c r="IS409" s="1"/>
      <c r="IT409" s="1"/>
      <c r="IU409" s="1"/>
      <c r="IV409" s="1"/>
    </row>
    <row r="410" spans="1:256" s="10" customFormat="1" x14ac:dyDescent="0.2">
      <c r="A410" s="39">
        <f t="shared" si="49"/>
        <v>393</v>
      </c>
      <c r="B410" s="40">
        <f t="shared" si="48"/>
        <v>53936</v>
      </c>
      <c r="C410" s="41" t="e">
        <f>IF(Pay_Num&lt;&gt;"",#REF!,"")</f>
        <v>#REF!</v>
      </c>
      <c r="D410" s="42" t="e">
        <f>SUM(#REF!)</f>
        <v>#REF!</v>
      </c>
      <c r="IP410" s="1"/>
      <c r="IQ410" s="1"/>
      <c r="IR410" s="1"/>
      <c r="IS410" s="1"/>
      <c r="IT410" s="1"/>
      <c r="IU410" s="1"/>
      <c r="IV410" s="1"/>
    </row>
    <row r="411" spans="1:256" s="10" customFormat="1" x14ac:dyDescent="0.2">
      <c r="A411" s="39">
        <f t="shared" si="49"/>
        <v>394</v>
      </c>
      <c r="B411" s="40">
        <f t="shared" si="48"/>
        <v>53966</v>
      </c>
      <c r="C411" s="41" t="e">
        <f>IF(Pay_Num&lt;&gt;"",#REF!,"")</f>
        <v>#REF!</v>
      </c>
      <c r="D411" s="42" t="e">
        <f>SUM(#REF!)</f>
        <v>#REF!</v>
      </c>
      <c r="IP411" s="1"/>
      <c r="IQ411" s="1"/>
      <c r="IR411" s="1"/>
      <c r="IS411" s="1"/>
      <c r="IT411" s="1"/>
      <c r="IU411" s="1"/>
      <c r="IV411" s="1"/>
    </row>
    <row r="412" spans="1:256" s="10" customFormat="1" x14ac:dyDescent="0.2">
      <c r="A412" s="39">
        <f t="shared" si="49"/>
        <v>395</v>
      </c>
      <c r="B412" s="40">
        <f t="shared" si="48"/>
        <v>53997</v>
      </c>
      <c r="C412" s="41" t="e">
        <f>IF(Pay_Num&lt;&gt;"",#REF!,"")</f>
        <v>#REF!</v>
      </c>
      <c r="D412" s="42" t="e">
        <f>SUM(#REF!)</f>
        <v>#REF!</v>
      </c>
      <c r="IP412" s="1"/>
      <c r="IQ412" s="1"/>
      <c r="IR412" s="1"/>
      <c r="IS412" s="1"/>
      <c r="IT412" s="1"/>
      <c r="IU412" s="1"/>
      <c r="IV412" s="1"/>
    </row>
    <row r="413" spans="1:256" s="10" customFormat="1" x14ac:dyDescent="0.2">
      <c r="A413" s="39">
        <f t="shared" si="49"/>
        <v>396</v>
      </c>
      <c r="B413" s="40">
        <f t="shared" si="48"/>
        <v>54027</v>
      </c>
      <c r="C413" s="41" t="e">
        <f>IF(Pay_Num&lt;&gt;"",#REF!,"")</f>
        <v>#REF!</v>
      </c>
      <c r="D413" s="42" t="e">
        <f>SUM(#REF!)</f>
        <v>#REF!</v>
      </c>
      <c r="IP413" s="1"/>
      <c r="IQ413" s="1"/>
      <c r="IR413" s="1"/>
      <c r="IS413" s="1"/>
      <c r="IT413" s="1"/>
      <c r="IU413" s="1"/>
      <c r="IV413" s="1"/>
    </row>
    <row r="414" spans="1:256" s="10" customFormat="1" x14ac:dyDescent="0.2">
      <c r="A414" s="39">
        <f t="shared" si="49"/>
        <v>397</v>
      </c>
      <c r="B414" s="40">
        <f t="shared" si="48"/>
        <v>54058</v>
      </c>
      <c r="C414" s="41" t="e">
        <f>IF(Pay_Num&lt;&gt;"",#REF!,"")</f>
        <v>#REF!</v>
      </c>
      <c r="D414" s="42" t="e">
        <f>SUM(#REF!)</f>
        <v>#REF!</v>
      </c>
      <c r="IP414" s="1"/>
      <c r="IQ414" s="1"/>
      <c r="IR414" s="1"/>
      <c r="IS414" s="1"/>
      <c r="IT414" s="1"/>
      <c r="IU414" s="1"/>
      <c r="IV414" s="1"/>
    </row>
    <row r="415" spans="1:256" s="10" customFormat="1" x14ac:dyDescent="0.2">
      <c r="A415" s="39">
        <f t="shared" si="49"/>
        <v>398</v>
      </c>
      <c r="B415" s="40">
        <f t="shared" si="48"/>
        <v>54089</v>
      </c>
      <c r="C415" s="41" t="e">
        <f>IF(Pay_Num&lt;&gt;"",#REF!,"")</f>
        <v>#REF!</v>
      </c>
      <c r="D415" s="42" t="e">
        <f>SUM(#REF!)</f>
        <v>#REF!</v>
      </c>
      <c r="IP415" s="1"/>
      <c r="IQ415" s="1"/>
      <c r="IR415" s="1"/>
      <c r="IS415" s="1"/>
      <c r="IT415" s="1"/>
      <c r="IU415" s="1"/>
      <c r="IV415" s="1"/>
    </row>
    <row r="416" spans="1:256" s="10" customFormat="1" x14ac:dyDescent="0.2">
      <c r="A416" s="39">
        <f t="shared" si="49"/>
        <v>399</v>
      </c>
      <c r="B416" s="40">
        <f t="shared" si="48"/>
        <v>54118</v>
      </c>
      <c r="C416" s="41" t="e">
        <f>IF(Pay_Num&lt;&gt;"",#REF!,"")</f>
        <v>#REF!</v>
      </c>
      <c r="D416" s="42" t="e">
        <f>SUM(#REF!)</f>
        <v>#REF!</v>
      </c>
      <c r="IP416" s="1"/>
      <c r="IQ416" s="1"/>
      <c r="IR416" s="1"/>
      <c r="IS416" s="1"/>
      <c r="IT416" s="1"/>
      <c r="IU416" s="1"/>
      <c r="IV416" s="1"/>
    </row>
    <row r="417" spans="1:256" s="10" customFormat="1" x14ac:dyDescent="0.2">
      <c r="A417" s="39">
        <f t="shared" si="49"/>
        <v>400</v>
      </c>
      <c r="B417" s="40">
        <f t="shared" si="48"/>
        <v>54149</v>
      </c>
      <c r="C417" s="41" t="e">
        <f>IF(Pay_Num&lt;&gt;"",#REF!,"")</f>
        <v>#REF!</v>
      </c>
      <c r="D417" s="42" t="e">
        <f>SUM(#REF!)</f>
        <v>#REF!</v>
      </c>
      <c r="IP417" s="1"/>
      <c r="IQ417" s="1"/>
      <c r="IR417" s="1"/>
      <c r="IS417" s="1"/>
      <c r="IT417" s="1"/>
      <c r="IU417" s="1"/>
      <c r="IV417" s="1"/>
    </row>
    <row r="418" spans="1:256" s="10" customFormat="1" x14ac:dyDescent="0.2">
      <c r="A418" s="39">
        <f t="shared" si="49"/>
        <v>401</v>
      </c>
      <c r="B418" s="40">
        <f t="shared" si="48"/>
        <v>54179</v>
      </c>
      <c r="C418" s="41" t="e">
        <f>IF(Pay_Num&lt;&gt;"",#REF!,"")</f>
        <v>#REF!</v>
      </c>
      <c r="D418" s="42" t="e">
        <f>SUM(#REF!)</f>
        <v>#REF!</v>
      </c>
      <c r="IP418" s="1"/>
      <c r="IQ418" s="1"/>
      <c r="IR418" s="1"/>
      <c r="IS418" s="1"/>
      <c r="IT418" s="1"/>
      <c r="IU418" s="1"/>
      <c r="IV418" s="1"/>
    </row>
    <row r="419" spans="1:256" s="10" customFormat="1" x14ac:dyDescent="0.2">
      <c r="A419" s="39">
        <f t="shared" si="49"/>
        <v>402</v>
      </c>
      <c r="B419" s="40">
        <f t="shared" si="48"/>
        <v>54210</v>
      </c>
      <c r="C419" s="41" t="e">
        <f>IF(Pay_Num&lt;&gt;"",#REF!,"")</f>
        <v>#REF!</v>
      </c>
      <c r="D419" s="42" t="e">
        <f>SUM(#REF!)</f>
        <v>#REF!</v>
      </c>
      <c r="IP419" s="1"/>
      <c r="IQ419" s="1"/>
      <c r="IR419" s="1"/>
      <c r="IS419" s="1"/>
      <c r="IT419" s="1"/>
      <c r="IU419" s="1"/>
      <c r="IV419" s="1"/>
    </row>
    <row r="420" spans="1:256" s="10" customFormat="1" x14ac:dyDescent="0.2">
      <c r="A420" s="39">
        <f t="shared" si="49"/>
        <v>403</v>
      </c>
      <c r="B420" s="40">
        <f t="shared" si="48"/>
        <v>54240</v>
      </c>
      <c r="C420" s="41" t="e">
        <f>IF(Pay_Num&lt;&gt;"",#REF!,"")</f>
        <v>#REF!</v>
      </c>
      <c r="D420" s="42" t="e">
        <f>SUM(#REF!)</f>
        <v>#REF!</v>
      </c>
      <c r="IP420" s="1"/>
      <c r="IQ420" s="1"/>
      <c r="IR420" s="1"/>
      <c r="IS420" s="1"/>
      <c r="IT420" s="1"/>
      <c r="IU420" s="1"/>
      <c r="IV420" s="1"/>
    </row>
    <row r="421" spans="1:256" s="10" customFormat="1" x14ac:dyDescent="0.2">
      <c r="A421" s="39">
        <f t="shared" si="49"/>
        <v>404</v>
      </c>
      <c r="B421" s="40">
        <f t="shared" si="48"/>
        <v>54271</v>
      </c>
      <c r="C421" s="41" t="e">
        <f>IF(Pay_Num&lt;&gt;"",#REF!,"")</f>
        <v>#REF!</v>
      </c>
      <c r="D421" s="42" t="e">
        <f>SUM(#REF!)</f>
        <v>#REF!</v>
      </c>
      <c r="IP421" s="1"/>
      <c r="IQ421" s="1"/>
      <c r="IR421" s="1"/>
      <c r="IS421" s="1"/>
      <c r="IT421" s="1"/>
      <c r="IU421" s="1"/>
      <c r="IV421" s="1"/>
    </row>
    <row r="422" spans="1:256" s="10" customFormat="1" x14ac:dyDescent="0.2">
      <c r="A422" s="39">
        <f t="shared" si="49"/>
        <v>405</v>
      </c>
      <c r="B422" s="40">
        <f t="shared" si="48"/>
        <v>54302</v>
      </c>
      <c r="C422" s="41" t="e">
        <f>IF(Pay_Num&lt;&gt;"",#REF!,"")</f>
        <v>#REF!</v>
      </c>
      <c r="D422" s="42" t="e">
        <f>SUM(#REF!)</f>
        <v>#REF!</v>
      </c>
      <c r="IP422" s="1"/>
      <c r="IQ422" s="1"/>
      <c r="IR422" s="1"/>
      <c r="IS422" s="1"/>
      <c r="IT422" s="1"/>
      <c r="IU422" s="1"/>
      <c r="IV422" s="1"/>
    </row>
    <row r="423" spans="1:256" s="10" customFormat="1" x14ac:dyDescent="0.2">
      <c r="A423" s="39">
        <f t="shared" si="49"/>
        <v>406</v>
      </c>
      <c r="B423" s="40">
        <f t="shared" si="48"/>
        <v>54332</v>
      </c>
      <c r="C423" s="41" t="e">
        <f>IF(Pay_Num&lt;&gt;"",#REF!,"")</f>
        <v>#REF!</v>
      </c>
      <c r="D423" s="42" t="e">
        <f>SUM(#REF!)</f>
        <v>#REF!</v>
      </c>
      <c r="IP423" s="1"/>
      <c r="IQ423" s="1"/>
      <c r="IR423" s="1"/>
      <c r="IS423" s="1"/>
      <c r="IT423" s="1"/>
      <c r="IU423" s="1"/>
      <c r="IV423" s="1"/>
    </row>
    <row r="424" spans="1:256" s="10" customFormat="1" x14ac:dyDescent="0.2">
      <c r="A424" s="39">
        <f t="shared" si="49"/>
        <v>407</v>
      </c>
      <c r="B424" s="40">
        <f t="shared" si="48"/>
        <v>54363</v>
      </c>
      <c r="C424" s="41" t="e">
        <f>IF(Pay_Num&lt;&gt;"",#REF!,"")</f>
        <v>#REF!</v>
      </c>
      <c r="D424" s="42" t="e">
        <f>SUM(#REF!)</f>
        <v>#REF!</v>
      </c>
      <c r="IP424" s="1"/>
      <c r="IQ424" s="1"/>
      <c r="IR424" s="1"/>
      <c r="IS424" s="1"/>
      <c r="IT424" s="1"/>
      <c r="IU424" s="1"/>
      <c r="IV424" s="1"/>
    </row>
    <row r="425" spans="1:256" s="10" customFormat="1" x14ac:dyDescent="0.2">
      <c r="A425" s="39">
        <f t="shared" si="49"/>
        <v>408</v>
      </c>
      <c r="B425" s="40">
        <f t="shared" si="48"/>
        <v>54393</v>
      </c>
      <c r="C425" s="41" t="e">
        <f>IF(Pay_Num&lt;&gt;"",#REF!,"")</f>
        <v>#REF!</v>
      </c>
      <c r="D425" s="42" t="e">
        <f>SUM(#REF!)</f>
        <v>#REF!</v>
      </c>
      <c r="IP425" s="1"/>
      <c r="IQ425" s="1"/>
      <c r="IR425" s="1"/>
      <c r="IS425" s="1"/>
      <c r="IT425" s="1"/>
      <c r="IU425" s="1"/>
      <c r="IV425" s="1"/>
    </row>
    <row r="426" spans="1:256" s="10" customFormat="1" x14ac:dyDescent="0.2">
      <c r="A426" s="39">
        <f t="shared" si="49"/>
        <v>409</v>
      </c>
      <c r="B426" s="40">
        <f t="shared" si="48"/>
        <v>54424</v>
      </c>
      <c r="C426" s="41" t="e">
        <f>IF(Pay_Num&lt;&gt;"",#REF!,"")</f>
        <v>#REF!</v>
      </c>
      <c r="D426" s="42" t="e">
        <f>SUM(#REF!)</f>
        <v>#REF!</v>
      </c>
      <c r="IP426" s="1"/>
      <c r="IQ426" s="1"/>
      <c r="IR426" s="1"/>
      <c r="IS426" s="1"/>
      <c r="IT426" s="1"/>
      <c r="IU426" s="1"/>
      <c r="IV426" s="1"/>
    </row>
    <row r="427" spans="1:256" s="10" customFormat="1" x14ac:dyDescent="0.2">
      <c r="A427" s="39">
        <f t="shared" si="49"/>
        <v>410</v>
      </c>
      <c r="B427" s="40">
        <f t="shared" si="48"/>
        <v>54455</v>
      </c>
      <c r="C427" s="41" t="e">
        <f>IF(Pay_Num&lt;&gt;"",#REF!,"")</f>
        <v>#REF!</v>
      </c>
      <c r="D427" s="42" t="e">
        <f>SUM(#REF!)</f>
        <v>#REF!</v>
      </c>
      <c r="IP427" s="1"/>
      <c r="IQ427" s="1"/>
      <c r="IR427" s="1"/>
      <c r="IS427" s="1"/>
      <c r="IT427" s="1"/>
      <c r="IU427" s="1"/>
      <c r="IV427" s="1"/>
    </row>
    <row r="428" spans="1:256" s="10" customFormat="1" x14ac:dyDescent="0.2">
      <c r="A428" s="39">
        <f t="shared" si="49"/>
        <v>411</v>
      </c>
      <c r="B428" s="40">
        <f t="shared" si="48"/>
        <v>54483</v>
      </c>
      <c r="C428" s="41" t="e">
        <f>IF(Pay_Num&lt;&gt;"",#REF!,"")</f>
        <v>#REF!</v>
      </c>
      <c r="D428" s="42" t="e">
        <f>SUM(#REF!)</f>
        <v>#REF!</v>
      </c>
      <c r="IP428" s="1"/>
      <c r="IQ428" s="1"/>
      <c r="IR428" s="1"/>
      <c r="IS428" s="1"/>
      <c r="IT428" s="1"/>
      <c r="IU428" s="1"/>
      <c r="IV428" s="1"/>
    </row>
    <row r="429" spans="1:256" s="10" customFormat="1" x14ac:dyDescent="0.2">
      <c r="A429" s="39">
        <f t="shared" si="49"/>
        <v>412</v>
      </c>
      <c r="B429" s="40">
        <f t="shared" si="48"/>
        <v>54514</v>
      </c>
      <c r="C429" s="41" t="e">
        <f>IF(Pay_Num&lt;&gt;"",#REF!,"")</f>
        <v>#REF!</v>
      </c>
      <c r="D429" s="42" t="e">
        <f>SUM(#REF!)</f>
        <v>#REF!</v>
      </c>
      <c r="IP429" s="1"/>
      <c r="IQ429" s="1"/>
      <c r="IR429" s="1"/>
      <c r="IS429" s="1"/>
      <c r="IT429" s="1"/>
      <c r="IU429" s="1"/>
      <c r="IV429" s="1"/>
    </row>
    <row r="430" spans="1:256" s="10" customFormat="1" x14ac:dyDescent="0.2">
      <c r="A430" s="39">
        <f t="shared" si="49"/>
        <v>413</v>
      </c>
      <c r="B430" s="40">
        <f t="shared" si="48"/>
        <v>54544</v>
      </c>
      <c r="C430" s="41" t="e">
        <f>IF(Pay_Num&lt;&gt;"",#REF!,"")</f>
        <v>#REF!</v>
      </c>
      <c r="D430" s="42" t="e">
        <f>SUM(#REF!)</f>
        <v>#REF!</v>
      </c>
      <c r="IP430" s="1"/>
      <c r="IQ430" s="1"/>
      <c r="IR430" s="1"/>
      <c r="IS430" s="1"/>
      <c r="IT430" s="1"/>
      <c r="IU430" s="1"/>
      <c r="IV430" s="1"/>
    </row>
    <row r="431" spans="1:256" s="10" customFormat="1" x14ac:dyDescent="0.2">
      <c r="A431" s="39">
        <f t="shared" si="49"/>
        <v>414</v>
      </c>
      <c r="B431" s="40">
        <f t="shared" si="48"/>
        <v>54575</v>
      </c>
      <c r="C431" s="41" t="e">
        <f>IF(Pay_Num&lt;&gt;"",#REF!,"")</f>
        <v>#REF!</v>
      </c>
      <c r="D431" s="42" t="e">
        <f>SUM(#REF!)</f>
        <v>#REF!</v>
      </c>
      <c r="IP431" s="1"/>
      <c r="IQ431" s="1"/>
      <c r="IR431" s="1"/>
      <c r="IS431" s="1"/>
      <c r="IT431" s="1"/>
      <c r="IU431" s="1"/>
      <c r="IV431" s="1"/>
    </row>
    <row r="432" spans="1:256" s="10" customFormat="1" x14ac:dyDescent="0.2">
      <c r="A432" s="39">
        <f t="shared" si="49"/>
        <v>415</v>
      </c>
      <c r="B432" s="40">
        <f t="shared" si="48"/>
        <v>54605</v>
      </c>
      <c r="C432" s="41" t="e">
        <f>IF(Pay_Num&lt;&gt;"",#REF!,"")</f>
        <v>#REF!</v>
      </c>
      <c r="D432" s="42" t="e">
        <f>SUM(#REF!)</f>
        <v>#REF!</v>
      </c>
      <c r="IP432" s="1"/>
      <c r="IQ432" s="1"/>
      <c r="IR432" s="1"/>
      <c r="IS432" s="1"/>
      <c r="IT432" s="1"/>
      <c r="IU432" s="1"/>
      <c r="IV432" s="1"/>
    </row>
    <row r="433" spans="1:256" s="10" customFormat="1" x14ac:dyDescent="0.2">
      <c r="A433" s="39">
        <f t="shared" si="49"/>
        <v>416</v>
      </c>
      <c r="B433" s="40">
        <f t="shared" si="48"/>
        <v>54636</v>
      </c>
      <c r="C433" s="41" t="e">
        <f>IF(Pay_Num&lt;&gt;"",#REF!,"")</f>
        <v>#REF!</v>
      </c>
      <c r="D433" s="42" t="e">
        <f>SUM(#REF!)</f>
        <v>#REF!</v>
      </c>
      <c r="IP433" s="1"/>
      <c r="IQ433" s="1"/>
      <c r="IR433" s="1"/>
      <c r="IS433" s="1"/>
      <c r="IT433" s="1"/>
      <c r="IU433" s="1"/>
      <c r="IV433" s="1"/>
    </row>
    <row r="434" spans="1:256" s="10" customFormat="1" x14ac:dyDescent="0.2">
      <c r="A434" s="39">
        <f t="shared" si="49"/>
        <v>417</v>
      </c>
      <c r="B434" s="40">
        <f t="shared" si="48"/>
        <v>54667</v>
      </c>
      <c r="C434" s="41" t="e">
        <f>IF(Pay_Num&lt;&gt;"",#REF!,"")</f>
        <v>#REF!</v>
      </c>
      <c r="D434" s="42" t="e">
        <f>SUM(#REF!)</f>
        <v>#REF!</v>
      </c>
      <c r="IP434" s="1"/>
      <c r="IQ434" s="1"/>
      <c r="IR434" s="1"/>
      <c r="IS434" s="1"/>
      <c r="IT434" s="1"/>
      <c r="IU434" s="1"/>
      <c r="IV434" s="1"/>
    </row>
    <row r="435" spans="1:256" s="10" customFormat="1" x14ac:dyDescent="0.2">
      <c r="A435" s="39">
        <f t="shared" si="49"/>
        <v>418</v>
      </c>
      <c r="B435" s="40">
        <f t="shared" si="48"/>
        <v>54697</v>
      </c>
      <c r="C435" s="41" t="e">
        <f>IF(Pay_Num&lt;&gt;"",#REF!,"")</f>
        <v>#REF!</v>
      </c>
      <c r="D435" s="42" t="e">
        <f>SUM(#REF!)</f>
        <v>#REF!</v>
      </c>
      <c r="IP435" s="1"/>
      <c r="IQ435" s="1"/>
      <c r="IR435" s="1"/>
      <c r="IS435" s="1"/>
      <c r="IT435" s="1"/>
      <c r="IU435" s="1"/>
      <c r="IV435" s="1"/>
    </row>
    <row r="436" spans="1:256" s="10" customFormat="1" x14ac:dyDescent="0.2">
      <c r="A436" s="39">
        <f t="shared" si="49"/>
        <v>419</v>
      </c>
      <c r="B436" s="40">
        <f t="shared" si="48"/>
        <v>54728</v>
      </c>
      <c r="C436" s="41" t="e">
        <f>IF(Pay_Num&lt;&gt;"",#REF!,"")</f>
        <v>#REF!</v>
      </c>
      <c r="D436" s="42" t="e">
        <f>SUM(#REF!)</f>
        <v>#REF!</v>
      </c>
      <c r="IP436" s="1"/>
      <c r="IQ436" s="1"/>
      <c r="IR436" s="1"/>
      <c r="IS436" s="1"/>
      <c r="IT436" s="1"/>
      <c r="IU436" s="1"/>
      <c r="IV436" s="1"/>
    </row>
    <row r="437" spans="1:256" s="10" customFormat="1" x14ac:dyDescent="0.2">
      <c r="A437" s="39">
        <f t="shared" si="49"/>
        <v>420</v>
      </c>
      <c r="B437" s="40">
        <f t="shared" si="48"/>
        <v>54758</v>
      </c>
      <c r="C437" s="41" t="e">
        <f>IF(Pay_Num&lt;&gt;"",#REF!,"")</f>
        <v>#REF!</v>
      </c>
      <c r="D437" s="42" t="e">
        <f>SUM(#REF!)</f>
        <v>#REF!</v>
      </c>
      <c r="IP437" s="1"/>
      <c r="IQ437" s="1"/>
      <c r="IR437" s="1"/>
      <c r="IS437" s="1"/>
      <c r="IT437" s="1"/>
      <c r="IU437" s="1"/>
      <c r="IV437" s="1"/>
    </row>
    <row r="438" spans="1:256" s="10" customFormat="1" x14ac:dyDescent="0.2">
      <c r="A438" s="39">
        <f t="shared" si="49"/>
        <v>421</v>
      </c>
      <c r="B438" s="40">
        <f t="shared" si="48"/>
        <v>54789</v>
      </c>
      <c r="C438" s="41" t="e">
        <f>IF(Pay_Num&lt;&gt;"",#REF!,"")</f>
        <v>#REF!</v>
      </c>
      <c r="D438" s="42" t="e">
        <f>SUM(#REF!)</f>
        <v>#REF!</v>
      </c>
      <c r="IP438" s="1"/>
      <c r="IQ438" s="1"/>
      <c r="IR438" s="1"/>
      <c r="IS438" s="1"/>
      <c r="IT438" s="1"/>
      <c r="IU438" s="1"/>
      <c r="IV438" s="1"/>
    </row>
    <row r="439" spans="1:256" s="10" customFormat="1" x14ac:dyDescent="0.2">
      <c r="A439" s="39">
        <f t="shared" si="49"/>
        <v>422</v>
      </c>
      <c r="B439" s="40">
        <f t="shared" si="48"/>
        <v>54820</v>
      </c>
      <c r="C439" s="41" t="e">
        <f>IF(Pay_Num&lt;&gt;"",#REF!,"")</f>
        <v>#REF!</v>
      </c>
      <c r="D439" s="42" t="e">
        <f>SUM(#REF!)</f>
        <v>#REF!</v>
      </c>
      <c r="IP439" s="1"/>
      <c r="IQ439" s="1"/>
      <c r="IR439" s="1"/>
      <c r="IS439" s="1"/>
      <c r="IT439" s="1"/>
      <c r="IU439" s="1"/>
      <c r="IV439" s="1"/>
    </row>
    <row r="440" spans="1:256" s="10" customFormat="1" x14ac:dyDescent="0.2">
      <c r="A440" s="39">
        <f t="shared" si="49"/>
        <v>423</v>
      </c>
      <c r="B440" s="40">
        <f t="shared" si="48"/>
        <v>54848</v>
      </c>
      <c r="C440" s="41" t="e">
        <f>IF(Pay_Num&lt;&gt;"",#REF!,"")</f>
        <v>#REF!</v>
      </c>
      <c r="D440" s="42" t="e">
        <f>SUM(#REF!)</f>
        <v>#REF!</v>
      </c>
      <c r="IP440" s="1"/>
      <c r="IQ440" s="1"/>
      <c r="IR440" s="1"/>
      <c r="IS440" s="1"/>
      <c r="IT440" s="1"/>
      <c r="IU440" s="1"/>
      <c r="IV440" s="1"/>
    </row>
    <row r="441" spans="1:256" s="10" customFormat="1" x14ac:dyDescent="0.2">
      <c r="A441" s="39">
        <f t="shared" si="49"/>
        <v>424</v>
      </c>
      <c r="B441" s="40">
        <f t="shared" si="48"/>
        <v>54879</v>
      </c>
      <c r="C441" s="41" t="e">
        <f>IF(Pay_Num&lt;&gt;"",#REF!,"")</f>
        <v>#REF!</v>
      </c>
      <c r="D441" s="42" t="e">
        <f>SUM(#REF!)</f>
        <v>#REF!</v>
      </c>
      <c r="IP441" s="1"/>
      <c r="IQ441" s="1"/>
      <c r="IR441" s="1"/>
      <c r="IS441" s="1"/>
      <c r="IT441" s="1"/>
      <c r="IU441" s="1"/>
      <c r="IV441" s="1"/>
    </row>
    <row r="442" spans="1:256" s="10" customFormat="1" x14ac:dyDescent="0.2">
      <c r="A442" s="39">
        <f t="shared" si="49"/>
        <v>425</v>
      </c>
      <c r="B442" s="40">
        <f t="shared" si="48"/>
        <v>54909</v>
      </c>
      <c r="C442" s="41" t="e">
        <f>IF(Pay_Num&lt;&gt;"",#REF!,"")</f>
        <v>#REF!</v>
      </c>
      <c r="D442" s="42" t="e">
        <f>SUM(#REF!)</f>
        <v>#REF!</v>
      </c>
      <c r="IP442" s="1"/>
      <c r="IQ442" s="1"/>
      <c r="IR442" s="1"/>
      <c r="IS442" s="1"/>
      <c r="IT442" s="1"/>
      <c r="IU442" s="1"/>
      <c r="IV442" s="1"/>
    </row>
    <row r="443" spans="1:256" s="10" customFormat="1" x14ac:dyDescent="0.2">
      <c r="A443" s="39">
        <f t="shared" si="49"/>
        <v>426</v>
      </c>
      <c r="B443" s="40">
        <f t="shared" si="48"/>
        <v>54940</v>
      </c>
      <c r="C443" s="41" t="e">
        <f>IF(Pay_Num&lt;&gt;"",#REF!,"")</f>
        <v>#REF!</v>
      </c>
      <c r="D443" s="42" t="e">
        <f>SUM(#REF!)</f>
        <v>#REF!</v>
      </c>
      <c r="IP443" s="1"/>
      <c r="IQ443" s="1"/>
      <c r="IR443" s="1"/>
      <c r="IS443" s="1"/>
      <c r="IT443" s="1"/>
      <c r="IU443" s="1"/>
      <c r="IV443" s="1"/>
    </row>
    <row r="444" spans="1:256" s="10" customFormat="1" x14ac:dyDescent="0.2">
      <c r="A444" s="39">
        <f t="shared" si="49"/>
        <v>427</v>
      </c>
      <c r="B444" s="40">
        <f t="shared" si="48"/>
        <v>54970</v>
      </c>
      <c r="C444" s="41" t="e">
        <f>IF(Pay_Num&lt;&gt;"",#REF!,"")</f>
        <v>#REF!</v>
      </c>
      <c r="D444" s="42" t="e">
        <f>SUM(#REF!)</f>
        <v>#REF!</v>
      </c>
      <c r="IP444" s="1"/>
      <c r="IQ444" s="1"/>
      <c r="IR444" s="1"/>
      <c r="IS444" s="1"/>
      <c r="IT444" s="1"/>
      <c r="IU444" s="1"/>
      <c r="IV444" s="1"/>
    </row>
    <row r="445" spans="1:256" s="10" customFormat="1" x14ac:dyDescent="0.2">
      <c r="A445" s="39">
        <f t="shared" si="49"/>
        <v>428</v>
      </c>
      <c r="B445" s="40">
        <f t="shared" si="48"/>
        <v>55001</v>
      </c>
      <c r="C445" s="41" t="e">
        <f>IF(Pay_Num&lt;&gt;"",#REF!,"")</f>
        <v>#REF!</v>
      </c>
      <c r="D445" s="42" t="e">
        <f>SUM(#REF!)</f>
        <v>#REF!</v>
      </c>
      <c r="IP445" s="1"/>
      <c r="IQ445" s="1"/>
      <c r="IR445" s="1"/>
      <c r="IS445" s="1"/>
      <c r="IT445" s="1"/>
      <c r="IU445" s="1"/>
      <c r="IV445" s="1"/>
    </row>
    <row r="446" spans="1:256" s="10" customFormat="1" x14ac:dyDescent="0.2">
      <c r="A446" s="39">
        <f t="shared" si="49"/>
        <v>429</v>
      </c>
      <c r="B446" s="40">
        <f t="shared" si="48"/>
        <v>55032</v>
      </c>
      <c r="C446" s="41" t="e">
        <f>IF(Pay_Num&lt;&gt;"",#REF!,"")</f>
        <v>#REF!</v>
      </c>
      <c r="D446" s="42" t="e">
        <f>SUM(#REF!)</f>
        <v>#REF!</v>
      </c>
      <c r="IP446" s="1"/>
      <c r="IQ446" s="1"/>
      <c r="IR446" s="1"/>
      <c r="IS446" s="1"/>
      <c r="IT446" s="1"/>
      <c r="IU446" s="1"/>
      <c r="IV446" s="1"/>
    </row>
    <row r="447" spans="1:256" s="10" customFormat="1" x14ac:dyDescent="0.2">
      <c r="A447" s="39">
        <f t="shared" si="49"/>
        <v>430</v>
      </c>
      <c r="B447" s="40">
        <f t="shared" si="48"/>
        <v>55062</v>
      </c>
      <c r="C447" s="41" t="e">
        <f>IF(Pay_Num&lt;&gt;"",#REF!,"")</f>
        <v>#REF!</v>
      </c>
      <c r="D447" s="42" t="e">
        <f>SUM(#REF!)</f>
        <v>#REF!</v>
      </c>
      <c r="IP447" s="1"/>
      <c r="IQ447" s="1"/>
      <c r="IR447" s="1"/>
      <c r="IS447" s="1"/>
      <c r="IT447" s="1"/>
      <c r="IU447" s="1"/>
      <c r="IV447" s="1"/>
    </row>
    <row r="448" spans="1:256" s="10" customFormat="1" x14ac:dyDescent="0.2">
      <c r="A448" s="39">
        <f t="shared" si="49"/>
        <v>431</v>
      </c>
      <c r="B448" s="40">
        <f t="shared" si="48"/>
        <v>55093</v>
      </c>
      <c r="C448" s="41" t="e">
        <f>IF(Pay_Num&lt;&gt;"",#REF!,"")</f>
        <v>#REF!</v>
      </c>
      <c r="D448" s="42" t="e">
        <f>SUM(#REF!)</f>
        <v>#REF!</v>
      </c>
      <c r="IP448" s="1"/>
      <c r="IQ448" s="1"/>
      <c r="IR448" s="1"/>
      <c r="IS448" s="1"/>
      <c r="IT448" s="1"/>
      <c r="IU448" s="1"/>
      <c r="IV448" s="1"/>
    </row>
    <row r="449" spans="1:256" s="10" customFormat="1" x14ac:dyDescent="0.2">
      <c r="A449" s="39">
        <f t="shared" si="49"/>
        <v>432</v>
      </c>
      <c r="B449" s="40">
        <f t="shared" si="48"/>
        <v>55123</v>
      </c>
      <c r="C449" s="41" t="e">
        <f>IF(Pay_Num&lt;&gt;"",#REF!,"")</f>
        <v>#REF!</v>
      </c>
      <c r="D449" s="42" t="e">
        <f>SUM(#REF!)</f>
        <v>#REF!</v>
      </c>
      <c r="IP449" s="1"/>
      <c r="IQ449" s="1"/>
      <c r="IR449" s="1"/>
      <c r="IS449" s="1"/>
      <c r="IT449" s="1"/>
      <c r="IU449" s="1"/>
      <c r="IV449" s="1"/>
    </row>
    <row r="450" spans="1:256" s="10" customFormat="1" x14ac:dyDescent="0.2">
      <c r="A450" s="39">
        <f t="shared" si="49"/>
        <v>433</v>
      </c>
      <c r="B450" s="40">
        <f t="shared" si="48"/>
        <v>55154</v>
      </c>
      <c r="C450" s="41" t="e">
        <f>IF(Pay_Num&lt;&gt;"",#REF!,"")</f>
        <v>#REF!</v>
      </c>
      <c r="D450" s="42" t="e">
        <f>SUM(#REF!)</f>
        <v>#REF!</v>
      </c>
      <c r="IP450" s="1"/>
      <c r="IQ450" s="1"/>
      <c r="IR450" s="1"/>
      <c r="IS450" s="1"/>
      <c r="IT450" s="1"/>
      <c r="IU450" s="1"/>
      <c r="IV450" s="1"/>
    </row>
    <row r="451" spans="1:256" s="10" customFormat="1" x14ac:dyDescent="0.2">
      <c r="A451" s="39">
        <f t="shared" si="49"/>
        <v>434</v>
      </c>
      <c r="B451" s="40">
        <f t="shared" si="48"/>
        <v>55185</v>
      </c>
      <c r="C451" s="41" t="e">
        <f>IF(Pay_Num&lt;&gt;"",#REF!,"")</f>
        <v>#REF!</v>
      </c>
      <c r="D451" s="42" t="e">
        <f>SUM(#REF!)</f>
        <v>#REF!</v>
      </c>
      <c r="IP451" s="1"/>
      <c r="IQ451" s="1"/>
      <c r="IR451" s="1"/>
      <c r="IS451" s="1"/>
      <c r="IT451" s="1"/>
      <c r="IU451" s="1"/>
      <c r="IV451" s="1"/>
    </row>
    <row r="452" spans="1:256" s="10" customFormat="1" x14ac:dyDescent="0.2">
      <c r="A452" s="39">
        <f t="shared" si="49"/>
        <v>435</v>
      </c>
      <c r="B452" s="40">
        <f t="shared" si="48"/>
        <v>55213</v>
      </c>
      <c r="C452" s="41" t="e">
        <f>IF(Pay_Num&lt;&gt;"",#REF!,"")</f>
        <v>#REF!</v>
      </c>
      <c r="D452" s="42" t="e">
        <f>SUM(#REF!)</f>
        <v>#REF!</v>
      </c>
      <c r="IP452" s="1"/>
      <c r="IQ452" s="1"/>
      <c r="IR452" s="1"/>
      <c r="IS452" s="1"/>
      <c r="IT452" s="1"/>
      <c r="IU452" s="1"/>
      <c r="IV452" s="1"/>
    </row>
    <row r="453" spans="1:256" s="10" customFormat="1" x14ac:dyDescent="0.2">
      <c r="A453" s="39">
        <f t="shared" si="49"/>
        <v>436</v>
      </c>
      <c r="B453" s="40">
        <f t="shared" si="48"/>
        <v>55244</v>
      </c>
      <c r="C453" s="41" t="e">
        <f>IF(Pay_Num&lt;&gt;"",#REF!,"")</f>
        <v>#REF!</v>
      </c>
      <c r="D453" s="42" t="e">
        <f>SUM(#REF!)</f>
        <v>#REF!</v>
      </c>
      <c r="IP453" s="1"/>
      <c r="IQ453" s="1"/>
      <c r="IR453" s="1"/>
      <c r="IS453" s="1"/>
      <c r="IT453" s="1"/>
      <c r="IU453" s="1"/>
      <c r="IV453" s="1"/>
    </row>
    <row r="454" spans="1:256" s="10" customFormat="1" x14ac:dyDescent="0.2">
      <c r="A454" s="39">
        <f t="shared" si="49"/>
        <v>437</v>
      </c>
      <c r="B454" s="40">
        <f t="shared" si="48"/>
        <v>55274</v>
      </c>
      <c r="C454" s="41" t="e">
        <f>IF(Pay_Num&lt;&gt;"",#REF!,"")</f>
        <v>#REF!</v>
      </c>
      <c r="D454" s="42" t="e">
        <f>SUM(#REF!)</f>
        <v>#REF!</v>
      </c>
      <c r="IP454" s="1"/>
      <c r="IQ454" s="1"/>
      <c r="IR454" s="1"/>
      <c r="IS454" s="1"/>
      <c r="IT454" s="1"/>
      <c r="IU454" s="1"/>
      <c r="IV454" s="1"/>
    </row>
    <row r="455" spans="1:256" s="10" customFormat="1" x14ac:dyDescent="0.2">
      <c r="A455" s="39">
        <f t="shared" si="49"/>
        <v>438</v>
      </c>
      <c r="B455" s="40">
        <f t="shared" si="48"/>
        <v>55305</v>
      </c>
      <c r="C455" s="41" t="e">
        <f>IF(Pay_Num&lt;&gt;"",#REF!,"")</f>
        <v>#REF!</v>
      </c>
      <c r="D455" s="42" t="e">
        <f>SUM(#REF!)</f>
        <v>#REF!</v>
      </c>
      <c r="IP455" s="1"/>
      <c r="IQ455" s="1"/>
      <c r="IR455" s="1"/>
      <c r="IS455" s="1"/>
      <c r="IT455" s="1"/>
      <c r="IU455" s="1"/>
      <c r="IV455" s="1"/>
    </row>
    <row r="456" spans="1:256" s="10" customFormat="1" x14ac:dyDescent="0.2">
      <c r="A456" s="39">
        <f t="shared" si="49"/>
        <v>439</v>
      </c>
      <c r="B456" s="40">
        <f t="shared" si="48"/>
        <v>55335</v>
      </c>
      <c r="C456" s="41" t="e">
        <f>IF(Pay_Num&lt;&gt;"",#REF!,"")</f>
        <v>#REF!</v>
      </c>
      <c r="D456" s="42" t="e">
        <f>SUM(#REF!)</f>
        <v>#REF!</v>
      </c>
      <c r="IP456" s="1"/>
      <c r="IQ456" s="1"/>
      <c r="IR456" s="1"/>
      <c r="IS456" s="1"/>
      <c r="IT456" s="1"/>
      <c r="IU456" s="1"/>
      <c r="IV456" s="1"/>
    </row>
    <row r="457" spans="1:256" s="10" customFormat="1" x14ac:dyDescent="0.2">
      <c r="A457" s="39">
        <f t="shared" si="49"/>
        <v>440</v>
      </c>
      <c r="B457" s="40">
        <f t="shared" si="48"/>
        <v>55366</v>
      </c>
      <c r="C457" s="41" t="e">
        <f>IF(Pay_Num&lt;&gt;"",#REF!,"")</f>
        <v>#REF!</v>
      </c>
      <c r="D457" s="42" t="e">
        <f>SUM(#REF!)</f>
        <v>#REF!</v>
      </c>
      <c r="IP457" s="1"/>
      <c r="IQ457" s="1"/>
      <c r="IR457" s="1"/>
      <c r="IS457" s="1"/>
      <c r="IT457" s="1"/>
      <c r="IU457" s="1"/>
      <c r="IV457" s="1"/>
    </row>
    <row r="458" spans="1:256" s="10" customFormat="1" x14ac:dyDescent="0.2">
      <c r="A458" s="39">
        <f t="shared" si="49"/>
        <v>441</v>
      </c>
      <c r="B458" s="40">
        <f t="shared" si="48"/>
        <v>55397</v>
      </c>
      <c r="C458" s="41" t="e">
        <f>IF(Pay_Num&lt;&gt;"",#REF!,"")</f>
        <v>#REF!</v>
      </c>
      <c r="D458" s="42" t="e">
        <f>SUM(#REF!)</f>
        <v>#REF!</v>
      </c>
      <c r="IP458" s="1"/>
      <c r="IQ458" s="1"/>
      <c r="IR458" s="1"/>
      <c r="IS458" s="1"/>
      <c r="IT458" s="1"/>
      <c r="IU458" s="1"/>
      <c r="IV458" s="1"/>
    </row>
    <row r="459" spans="1:256" s="10" customFormat="1" x14ac:dyDescent="0.2">
      <c r="A459" s="39">
        <f t="shared" si="49"/>
        <v>442</v>
      </c>
      <c r="B459" s="40">
        <f t="shared" si="48"/>
        <v>55427</v>
      </c>
      <c r="C459" s="41" t="e">
        <f>IF(Pay_Num&lt;&gt;"",#REF!,"")</f>
        <v>#REF!</v>
      </c>
      <c r="D459" s="42" t="e">
        <f>SUM(#REF!)</f>
        <v>#REF!</v>
      </c>
      <c r="IP459" s="1"/>
      <c r="IQ459" s="1"/>
      <c r="IR459" s="1"/>
      <c r="IS459" s="1"/>
      <c r="IT459" s="1"/>
      <c r="IU459" s="1"/>
      <c r="IV459" s="1"/>
    </row>
    <row r="460" spans="1:256" s="10" customFormat="1" x14ac:dyDescent="0.2">
      <c r="A460" s="39">
        <f t="shared" si="49"/>
        <v>443</v>
      </c>
      <c r="B460" s="40">
        <f t="shared" si="48"/>
        <v>55458</v>
      </c>
      <c r="C460" s="41" t="e">
        <f>IF(Pay_Num&lt;&gt;"",#REF!,"")</f>
        <v>#REF!</v>
      </c>
      <c r="D460" s="42" t="e">
        <f>SUM(#REF!)</f>
        <v>#REF!</v>
      </c>
      <c r="IP460" s="1"/>
      <c r="IQ460" s="1"/>
      <c r="IR460" s="1"/>
      <c r="IS460" s="1"/>
      <c r="IT460" s="1"/>
      <c r="IU460" s="1"/>
      <c r="IV460" s="1"/>
    </row>
    <row r="461" spans="1:256" s="10" customFormat="1" x14ac:dyDescent="0.2">
      <c r="A461" s="39">
        <f t="shared" si="49"/>
        <v>444</v>
      </c>
      <c r="B461" s="40">
        <f t="shared" si="48"/>
        <v>55488</v>
      </c>
      <c r="C461" s="41" t="e">
        <f>IF(Pay_Num&lt;&gt;"",#REF!,"")</f>
        <v>#REF!</v>
      </c>
      <c r="D461" s="42" t="e">
        <f>SUM(#REF!)</f>
        <v>#REF!</v>
      </c>
      <c r="IP461" s="1"/>
      <c r="IQ461" s="1"/>
      <c r="IR461" s="1"/>
      <c r="IS461" s="1"/>
      <c r="IT461" s="1"/>
      <c r="IU461" s="1"/>
      <c r="IV461" s="1"/>
    </row>
    <row r="462" spans="1:256" s="10" customFormat="1" x14ac:dyDescent="0.2">
      <c r="A462" s="39">
        <f t="shared" si="49"/>
        <v>445</v>
      </c>
      <c r="B462" s="40">
        <f t="shared" si="48"/>
        <v>55519</v>
      </c>
      <c r="C462" s="41" t="e">
        <f>IF(Pay_Num&lt;&gt;"",#REF!,"")</f>
        <v>#REF!</v>
      </c>
      <c r="D462" s="42" t="e">
        <f>SUM(#REF!)</f>
        <v>#REF!</v>
      </c>
      <c r="IP462" s="1"/>
      <c r="IQ462" s="1"/>
      <c r="IR462" s="1"/>
      <c r="IS462" s="1"/>
      <c r="IT462" s="1"/>
      <c r="IU462" s="1"/>
      <c r="IV462" s="1"/>
    </row>
    <row r="463" spans="1:256" s="10" customFormat="1" x14ac:dyDescent="0.2">
      <c r="A463" s="39">
        <f t="shared" si="49"/>
        <v>446</v>
      </c>
      <c r="B463" s="40">
        <f t="shared" si="48"/>
        <v>55550</v>
      </c>
      <c r="C463" s="41" t="e">
        <f>IF(Pay_Num&lt;&gt;"",#REF!,"")</f>
        <v>#REF!</v>
      </c>
      <c r="D463" s="42" t="e">
        <f>SUM(#REF!)</f>
        <v>#REF!</v>
      </c>
      <c r="IP463" s="1"/>
      <c r="IQ463" s="1"/>
      <c r="IR463" s="1"/>
      <c r="IS463" s="1"/>
      <c r="IT463" s="1"/>
      <c r="IU463" s="1"/>
      <c r="IV463" s="1"/>
    </row>
    <row r="464" spans="1:256" s="10" customFormat="1" x14ac:dyDescent="0.2">
      <c r="A464" s="39">
        <f t="shared" si="49"/>
        <v>447</v>
      </c>
      <c r="B464" s="40">
        <f t="shared" si="48"/>
        <v>55579</v>
      </c>
      <c r="C464" s="41" t="e">
        <f>IF(Pay_Num&lt;&gt;"",#REF!,"")</f>
        <v>#REF!</v>
      </c>
      <c r="D464" s="42" t="e">
        <f>SUM(#REF!)</f>
        <v>#REF!</v>
      </c>
      <c r="IP464" s="1"/>
      <c r="IQ464" s="1"/>
      <c r="IR464" s="1"/>
      <c r="IS464" s="1"/>
      <c r="IT464" s="1"/>
      <c r="IU464" s="1"/>
      <c r="IV464" s="1"/>
    </row>
    <row r="465" spans="1:256" s="10" customFormat="1" x14ac:dyDescent="0.2">
      <c r="A465" s="39">
        <f t="shared" si="49"/>
        <v>448</v>
      </c>
      <c r="B465" s="40">
        <f t="shared" si="48"/>
        <v>55610</v>
      </c>
      <c r="C465" s="41" t="e">
        <f>IF(Pay_Num&lt;&gt;"",#REF!,"")</f>
        <v>#REF!</v>
      </c>
      <c r="D465" s="42" t="e">
        <f>SUM(#REF!)</f>
        <v>#REF!</v>
      </c>
      <c r="IP465" s="1"/>
      <c r="IQ465" s="1"/>
      <c r="IR465" s="1"/>
      <c r="IS465" s="1"/>
      <c r="IT465" s="1"/>
      <c r="IU465" s="1"/>
      <c r="IV465" s="1"/>
    </row>
    <row r="466" spans="1:256" s="10" customFormat="1" x14ac:dyDescent="0.2">
      <c r="A466" s="39">
        <f t="shared" si="49"/>
        <v>449</v>
      </c>
      <c r="B466" s="40">
        <f t="shared" ref="B466:B497" si="50">IF(Pay_Num&lt;&gt;"",DATE(YEAR(Loan_Start),MONTH(Loan_Start)+(Pay_Num)*12/Num_Pmt_Per_Year,DAY(Loan_Start)),"")</f>
        <v>55640</v>
      </c>
      <c r="C466" s="41" t="e">
        <f>IF(Pay_Num&lt;&gt;"",#REF!,"")</f>
        <v>#REF!</v>
      </c>
      <c r="D466" s="42" t="e">
        <f>SUM(#REF!)</f>
        <v>#REF!</v>
      </c>
      <c r="IP466" s="1"/>
      <c r="IQ466" s="1"/>
      <c r="IR466" s="1"/>
      <c r="IS466" s="1"/>
      <c r="IT466" s="1"/>
      <c r="IU466" s="1"/>
      <c r="IV466" s="1"/>
    </row>
    <row r="467" spans="1:256" s="10" customFormat="1" x14ac:dyDescent="0.2">
      <c r="A467" s="39">
        <f t="shared" ref="A467:A497" si="51">IF(Values_Entered,A466+1,"")</f>
        <v>450</v>
      </c>
      <c r="B467" s="40">
        <f t="shared" si="50"/>
        <v>55671</v>
      </c>
      <c r="C467" s="41" t="e">
        <f>IF(Pay_Num&lt;&gt;"",#REF!,"")</f>
        <v>#REF!</v>
      </c>
      <c r="D467" s="42" t="e">
        <f>SUM(#REF!)</f>
        <v>#REF!</v>
      </c>
      <c r="IP467" s="1"/>
      <c r="IQ467" s="1"/>
      <c r="IR467" s="1"/>
      <c r="IS467" s="1"/>
      <c r="IT467" s="1"/>
      <c r="IU467" s="1"/>
      <c r="IV467" s="1"/>
    </row>
    <row r="468" spans="1:256" s="10" customFormat="1" x14ac:dyDescent="0.2">
      <c r="A468" s="39">
        <f t="shared" si="51"/>
        <v>451</v>
      </c>
      <c r="B468" s="40">
        <f t="shared" si="50"/>
        <v>55701</v>
      </c>
      <c r="C468" s="41" t="e">
        <f>IF(Pay_Num&lt;&gt;"",#REF!,"")</f>
        <v>#REF!</v>
      </c>
      <c r="D468" s="42" t="e">
        <f>SUM(#REF!)</f>
        <v>#REF!</v>
      </c>
      <c r="IP468" s="1"/>
      <c r="IQ468" s="1"/>
      <c r="IR468" s="1"/>
      <c r="IS468" s="1"/>
      <c r="IT468" s="1"/>
      <c r="IU468" s="1"/>
      <c r="IV468" s="1"/>
    </row>
    <row r="469" spans="1:256" s="10" customFormat="1" x14ac:dyDescent="0.2">
      <c r="A469" s="39">
        <f t="shared" si="51"/>
        <v>452</v>
      </c>
      <c r="B469" s="40">
        <f t="shared" si="50"/>
        <v>55732</v>
      </c>
      <c r="C469" s="41" t="e">
        <f>IF(Pay_Num&lt;&gt;"",#REF!,"")</f>
        <v>#REF!</v>
      </c>
      <c r="D469" s="42" t="e">
        <f>SUM(#REF!)</f>
        <v>#REF!</v>
      </c>
      <c r="IP469" s="1"/>
      <c r="IQ469" s="1"/>
      <c r="IR469" s="1"/>
      <c r="IS469" s="1"/>
      <c r="IT469" s="1"/>
      <c r="IU469" s="1"/>
      <c r="IV469" s="1"/>
    </row>
    <row r="470" spans="1:256" s="10" customFormat="1" x14ac:dyDescent="0.2">
      <c r="A470" s="39">
        <f t="shared" si="51"/>
        <v>453</v>
      </c>
      <c r="B470" s="40">
        <f t="shared" si="50"/>
        <v>55763</v>
      </c>
      <c r="C470" s="41" t="e">
        <f>IF(Pay_Num&lt;&gt;"",#REF!,"")</f>
        <v>#REF!</v>
      </c>
      <c r="D470" s="42" t="e">
        <f>SUM(#REF!)</f>
        <v>#REF!</v>
      </c>
      <c r="IP470" s="1"/>
      <c r="IQ470" s="1"/>
      <c r="IR470" s="1"/>
      <c r="IS470" s="1"/>
      <c r="IT470" s="1"/>
      <c r="IU470" s="1"/>
      <c r="IV470" s="1"/>
    </row>
    <row r="471" spans="1:256" s="10" customFormat="1" x14ac:dyDescent="0.2">
      <c r="A471" s="39">
        <f t="shared" si="51"/>
        <v>454</v>
      </c>
      <c r="B471" s="40">
        <f t="shared" si="50"/>
        <v>55793</v>
      </c>
      <c r="C471" s="41" t="e">
        <f>IF(Pay_Num&lt;&gt;"",#REF!,"")</f>
        <v>#REF!</v>
      </c>
      <c r="D471" s="42" t="e">
        <f>SUM(#REF!)</f>
        <v>#REF!</v>
      </c>
      <c r="IP471" s="1"/>
      <c r="IQ471" s="1"/>
      <c r="IR471" s="1"/>
      <c r="IS471" s="1"/>
      <c r="IT471" s="1"/>
      <c r="IU471" s="1"/>
      <c r="IV471" s="1"/>
    </row>
    <row r="472" spans="1:256" s="10" customFormat="1" x14ac:dyDescent="0.2">
      <c r="A472" s="39">
        <f t="shared" si="51"/>
        <v>455</v>
      </c>
      <c r="B472" s="40">
        <f t="shared" si="50"/>
        <v>55824</v>
      </c>
      <c r="C472" s="41" t="e">
        <f>IF(Pay_Num&lt;&gt;"",#REF!,"")</f>
        <v>#REF!</v>
      </c>
      <c r="D472" s="42" t="e">
        <f>SUM(#REF!)</f>
        <v>#REF!</v>
      </c>
      <c r="IP472" s="1"/>
      <c r="IQ472" s="1"/>
      <c r="IR472" s="1"/>
      <c r="IS472" s="1"/>
      <c r="IT472" s="1"/>
      <c r="IU472" s="1"/>
      <c r="IV472" s="1"/>
    </row>
    <row r="473" spans="1:256" s="10" customFormat="1" x14ac:dyDescent="0.2">
      <c r="A473" s="39">
        <f t="shared" si="51"/>
        <v>456</v>
      </c>
      <c r="B473" s="40">
        <f t="shared" si="50"/>
        <v>55854</v>
      </c>
      <c r="C473" s="41" t="e">
        <f>IF(Pay_Num&lt;&gt;"",#REF!,"")</f>
        <v>#REF!</v>
      </c>
      <c r="D473" s="42" t="e">
        <f>SUM(#REF!)</f>
        <v>#REF!</v>
      </c>
      <c r="IP473" s="1"/>
      <c r="IQ473" s="1"/>
      <c r="IR473" s="1"/>
      <c r="IS473" s="1"/>
      <c r="IT473" s="1"/>
      <c r="IU473" s="1"/>
      <c r="IV473" s="1"/>
    </row>
    <row r="474" spans="1:256" s="10" customFormat="1" x14ac:dyDescent="0.2">
      <c r="A474" s="39">
        <f t="shared" si="51"/>
        <v>457</v>
      </c>
      <c r="B474" s="40">
        <f t="shared" si="50"/>
        <v>55885</v>
      </c>
      <c r="C474" s="41" t="e">
        <f>IF(Pay_Num&lt;&gt;"",#REF!,"")</f>
        <v>#REF!</v>
      </c>
      <c r="D474" s="42" t="e">
        <f>SUM(#REF!)</f>
        <v>#REF!</v>
      </c>
      <c r="IP474" s="1"/>
      <c r="IQ474" s="1"/>
      <c r="IR474" s="1"/>
      <c r="IS474" s="1"/>
      <c r="IT474" s="1"/>
      <c r="IU474" s="1"/>
      <c r="IV474" s="1"/>
    </row>
    <row r="475" spans="1:256" s="10" customFormat="1" x14ac:dyDescent="0.2">
      <c r="A475" s="39">
        <f t="shared" si="51"/>
        <v>458</v>
      </c>
      <c r="B475" s="40">
        <f t="shared" si="50"/>
        <v>55916</v>
      </c>
      <c r="C475" s="41" t="e">
        <f>IF(Pay_Num&lt;&gt;"",#REF!,"")</f>
        <v>#REF!</v>
      </c>
      <c r="D475" s="42" t="e">
        <f>SUM(#REF!)</f>
        <v>#REF!</v>
      </c>
      <c r="IP475" s="1"/>
      <c r="IQ475" s="1"/>
      <c r="IR475" s="1"/>
      <c r="IS475" s="1"/>
      <c r="IT475" s="1"/>
      <c r="IU475" s="1"/>
      <c r="IV475" s="1"/>
    </row>
    <row r="476" spans="1:256" s="10" customFormat="1" x14ac:dyDescent="0.2">
      <c r="A476" s="39">
        <f t="shared" si="51"/>
        <v>459</v>
      </c>
      <c r="B476" s="40">
        <f t="shared" si="50"/>
        <v>55944</v>
      </c>
      <c r="C476" s="41" t="e">
        <f>IF(Pay_Num&lt;&gt;"",#REF!,"")</f>
        <v>#REF!</v>
      </c>
      <c r="D476" s="42" t="e">
        <f>SUM(#REF!)</f>
        <v>#REF!</v>
      </c>
      <c r="IP476" s="1"/>
      <c r="IQ476" s="1"/>
      <c r="IR476" s="1"/>
      <c r="IS476" s="1"/>
      <c r="IT476" s="1"/>
      <c r="IU476" s="1"/>
      <c r="IV476" s="1"/>
    </row>
    <row r="477" spans="1:256" s="10" customFormat="1" x14ac:dyDescent="0.2">
      <c r="A477" s="39">
        <f t="shared" si="51"/>
        <v>460</v>
      </c>
      <c r="B477" s="40">
        <f t="shared" si="50"/>
        <v>55975</v>
      </c>
      <c r="C477" s="41" t="e">
        <f>IF(Pay_Num&lt;&gt;"",#REF!,"")</f>
        <v>#REF!</v>
      </c>
      <c r="D477" s="42" t="e">
        <f>SUM(#REF!)</f>
        <v>#REF!</v>
      </c>
      <c r="IP477" s="1"/>
      <c r="IQ477" s="1"/>
      <c r="IR477" s="1"/>
      <c r="IS477" s="1"/>
      <c r="IT477" s="1"/>
      <c r="IU477" s="1"/>
      <c r="IV477" s="1"/>
    </row>
    <row r="478" spans="1:256" s="10" customFormat="1" x14ac:dyDescent="0.2">
      <c r="A478" s="39">
        <f t="shared" si="51"/>
        <v>461</v>
      </c>
      <c r="B478" s="40">
        <f t="shared" si="50"/>
        <v>56005</v>
      </c>
      <c r="C478" s="41" t="e">
        <f>IF(Pay_Num&lt;&gt;"",#REF!,"")</f>
        <v>#REF!</v>
      </c>
      <c r="D478" s="42" t="e">
        <f>SUM(#REF!)</f>
        <v>#REF!</v>
      </c>
      <c r="IP478" s="1"/>
      <c r="IQ478" s="1"/>
      <c r="IR478" s="1"/>
      <c r="IS478" s="1"/>
      <c r="IT478" s="1"/>
      <c r="IU478" s="1"/>
      <c r="IV478" s="1"/>
    </row>
    <row r="479" spans="1:256" s="10" customFormat="1" x14ac:dyDescent="0.2">
      <c r="A479" s="39">
        <f t="shared" si="51"/>
        <v>462</v>
      </c>
      <c r="B479" s="40">
        <f t="shared" si="50"/>
        <v>56036</v>
      </c>
      <c r="C479" s="41" t="e">
        <f>IF(Pay_Num&lt;&gt;"",#REF!,"")</f>
        <v>#REF!</v>
      </c>
      <c r="D479" s="42" t="e">
        <f>SUM(#REF!)</f>
        <v>#REF!</v>
      </c>
      <c r="IP479" s="1"/>
      <c r="IQ479" s="1"/>
      <c r="IR479" s="1"/>
      <c r="IS479" s="1"/>
      <c r="IT479" s="1"/>
      <c r="IU479" s="1"/>
      <c r="IV479" s="1"/>
    </row>
    <row r="480" spans="1:256" s="10" customFormat="1" x14ac:dyDescent="0.2">
      <c r="A480" s="39">
        <f t="shared" si="51"/>
        <v>463</v>
      </c>
      <c r="B480" s="40">
        <f t="shared" si="50"/>
        <v>56066</v>
      </c>
      <c r="C480" s="41" t="e">
        <f>IF(Pay_Num&lt;&gt;"",#REF!,"")</f>
        <v>#REF!</v>
      </c>
      <c r="D480" s="42" t="e">
        <f>SUM(#REF!)</f>
        <v>#REF!</v>
      </c>
      <c r="IP480" s="1"/>
      <c r="IQ480" s="1"/>
      <c r="IR480" s="1"/>
      <c r="IS480" s="1"/>
      <c r="IT480" s="1"/>
      <c r="IU480" s="1"/>
      <c r="IV480" s="1"/>
    </row>
    <row r="481" spans="1:256" s="10" customFormat="1" x14ac:dyDescent="0.2">
      <c r="A481" s="39">
        <f t="shared" si="51"/>
        <v>464</v>
      </c>
      <c r="B481" s="40">
        <f t="shared" si="50"/>
        <v>56097</v>
      </c>
      <c r="C481" s="41" t="e">
        <f>IF(Pay_Num&lt;&gt;"",#REF!,"")</f>
        <v>#REF!</v>
      </c>
      <c r="D481" s="42" t="e">
        <f>SUM(#REF!)</f>
        <v>#REF!</v>
      </c>
      <c r="IP481" s="1"/>
      <c r="IQ481" s="1"/>
      <c r="IR481" s="1"/>
      <c r="IS481" s="1"/>
      <c r="IT481" s="1"/>
      <c r="IU481" s="1"/>
      <c r="IV481" s="1"/>
    </row>
    <row r="482" spans="1:256" s="10" customFormat="1" x14ac:dyDescent="0.2">
      <c r="A482" s="39">
        <f t="shared" si="51"/>
        <v>465</v>
      </c>
      <c r="B482" s="40">
        <f t="shared" si="50"/>
        <v>56128</v>
      </c>
      <c r="C482" s="41" t="e">
        <f>IF(Pay_Num&lt;&gt;"",#REF!,"")</f>
        <v>#REF!</v>
      </c>
      <c r="D482" s="42" t="e">
        <f>SUM(#REF!)</f>
        <v>#REF!</v>
      </c>
      <c r="IP482" s="1"/>
      <c r="IQ482" s="1"/>
      <c r="IR482" s="1"/>
      <c r="IS482" s="1"/>
      <c r="IT482" s="1"/>
      <c r="IU482" s="1"/>
      <c r="IV482" s="1"/>
    </row>
    <row r="483" spans="1:256" s="10" customFormat="1" x14ac:dyDescent="0.2">
      <c r="A483" s="39">
        <f t="shared" si="51"/>
        <v>466</v>
      </c>
      <c r="B483" s="40">
        <f t="shared" si="50"/>
        <v>56158</v>
      </c>
      <c r="C483" s="41" t="e">
        <f>IF(Pay_Num&lt;&gt;"",#REF!,"")</f>
        <v>#REF!</v>
      </c>
      <c r="D483" s="42" t="e">
        <f>SUM(#REF!)</f>
        <v>#REF!</v>
      </c>
      <c r="IP483" s="1"/>
      <c r="IQ483" s="1"/>
      <c r="IR483" s="1"/>
      <c r="IS483" s="1"/>
      <c r="IT483" s="1"/>
      <c r="IU483" s="1"/>
      <c r="IV483" s="1"/>
    </row>
    <row r="484" spans="1:256" s="10" customFormat="1" x14ac:dyDescent="0.2">
      <c r="A484" s="39">
        <f t="shared" si="51"/>
        <v>467</v>
      </c>
      <c r="B484" s="40">
        <f t="shared" si="50"/>
        <v>56189</v>
      </c>
      <c r="C484" s="41" t="e">
        <f>IF(Pay_Num&lt;&gt;"",#REF!,"")</f>
        <v>#REF!</v>
      </c>
      <c r="D484" s="42" t="e">
        <f>SUM(#REF!)</f>
        <v>#REF!</v>
      </c>
      <c r="IP484" s="1"/>
      <c r="IQ484" s="1"/>
      <c r="IR484" s="1"/>
      <c r="IS484" s="1"/>
      <c r="IT484" s="1"/>
      <c r="IU484" s="1"/>
      <c r="IV484" s="1"/>
    </row>
    <row r="485" spans="1:256" s="10" customFormat="1" x14ac:dyDescent="0.2">
      <c r="A485" s="39">
        <f t="shared" si="51"/>
        <v>468</v>
      </c>
      <c r="B485" s="40">
        <f t="shared" si="50"/>
        <v>56219</v>
      </c>
      <c r="C485" s="41" t="e">
        <f>IF(Pay_Num&lt;&gt;"",#REF!,"")</f>
        <v>#REF!</v>
      </c>
      <c r="D485" s="42" t="e">
        <f>SUM(#REF!)</f>
        <v>#REF!</v>
      </c>
      <c r="IP485" s="1"/>
      <c r="IQ485" s="1"/>
      <c r="IR485" s="1"/>
      <c r="IS485" s="1"/>
      <c r="IT485" s="1"/>
      <c r="IU485" s="1"/>
      <c r="IV485" s="1"/>
    </row>
    <row r="486" spans="1:256" s="10" customFormat="1" x14ac:dyDescent="0.2">
      <c r="A486" s="39">
        <f t="shared" si="51"/>
        <v>469</v>
      </c>
      <c r="B486" s="40">
        <f t="shared" si="50"/>
        <v>56250</v>
      </c>
      <c r="C486" s="41" t="e">
        <f>IF(Pay_Num&lt;&gt;"",#REF!,"")</f>
        <v>#REF!</v>
      </c>
      <c r="D486" s="42" t="e">
        <f>SUM(#REF!)</f>
        <v>#REF!</v>
      </c>
      <c r="IP486" s="1"/>
      <c r="IQ486" s="1"/>
      <c r="IR486" s="1"/>
      <c r="IS486" s="1"/>
      <c r="IT486" s="1"/>
      <c r="IU486" s="1"/>
      <c r="IV486" s="1"/>
    </row>
    <row r="487" spans="1:256" s="10" customFormat="1" x14ac:dyDescent="0.2">
      <c r="A487" s="39">
        <f t="shared" si="51"/>
        <v>470</v>
      </c>
      <c r="B487" s="40">
        <f t="shared" si="50"/>
        <v>56281</v>
      </c>
      <c r="C487" s="41" t="e">
        <f>IF(Pay_Num&lt;&gt;"",#REF!,"")</f>
        <v>#REF!</v>
      </c>
      <c r="D487" s="42" t="e">
        <f>SUM(#REF!)</f>
        <v>#REF!</v>
      </c>
      <c r="IP487" s="1"/>
      <c r="IQ487" s="1"/>
      <c r="IR487" s="1"/>
      <c r="IS487" s="1"/>
      <c r="IT487" s="1"/>
      <c r="IU487" s="1"/>
      <c r="IV487" s="1"/>
    </row>
    <row r="488" spans="1:256" s="10" customFormat="1" x14ac:dyDescent="0.2">
      <c r="A488" s="39">
        <f t="shared" si="51"/>
        <v>471</v>
      </c>
      <c r="B488" s="40">
        <f t="shared" si="50"/>
        <v>56309</v>
      </c>
      <c r="C488" s="41" t="e">
        <f>IF(Pay_Num&lt;&gt;"",#REF!,"")</f>
        <v>#REF!</v>
      </c>
      <c r="D488" s="42" t="e">
        <f>SUM(#REF!)</f>
        <v>#REF!</v>
      </c>
      <c r="IP488" s="1"/>
      <c r="IQ488" s="1"/>
      <c r="IR488" s="1"/>
      <c r="IS488" s="1"/>
      <c r="IT488" s="1"/>
      <c r="IU488" s="1"/>
      <c r="IV488" s="1"/>
    </row>
    <row r="489" spans="1:256" s="10" customFormat="1" x14ac:dyDescent="0.2">
      <c r="A489" s="39">
        <f t="shared" si="51"/>
        <v>472</v>
      </c>
      <c r="B489" s="40">
        <f t="shared" si="50"/>
        <v>56340</v>
      </c>
      <c r="C489" s="41" t="e">
        <f>IF(Pay_Num&lt;&gt;"",#REF!,"")</f>
        <v>#REF!</v>
      </c>
      <c r="D489" s="42" t="e">
        <f>SUM(#REF!)</f>
        <v>#REF!</v>
      </c>
      <c r="IP489" s="1"/>
      <c r="IQ489" s="1"/>
      <c r="IR489" s="1"/>
      <c r="IS489" s="1"/>
      <c r="IT489" s="1"/>
      <c r="IU489" s="1"/>
      <c r="IV489" s="1"/>
    </row>
    <row r="490" spans="1:256" s="10" customFormat="1" x14ac:dyDescent="0.2">
      <c r="A490" s="39">
        <f t="shared" si="51"/>
        <v>473</v>
      </c>
      <c r="B490" s="40">
        <f t="shared" si="50"/>
        <v>56370</v>
      </c>
      <c r="C490" s="41" t="e">
        <f>IF(Pay_Num&lt;&gt;"",#REF!,"")</f>
        <v>#REF!</v>
      </c>
      <c r="D490" s="42" t="e">
        <f>SUM(#REF!)</f>
        <v>#REF!</v>
      </c>
      <c r="IP490" s="1"/>
      <c r="IQ490" s="1"/>
      <c r="IR490" s="1"/>
      <c r="IS490" s="1"/>
      <c r="IT490" s="1"/>
      <c r="IU490" s="1"/>
      <c r="IV490" s="1"/>
    </row>
    <row r="491" spans="1:256" s="10" customFormat="1" x14ac:dyDescent="0.2">
      <c r="A491" s="39">
        <f t="shared" si="51"/>
        <v>474</v>
      </c>
      <c r="B491" s="40">
        <f t="shared" si="50"/>
        <v>56401</v>
      </c>
      <c r="C491" s="41" t="e">
        <f>IF(Pay_Num&lt;&gt;"",#REF!,"")</f>
        <v>#REF!</v>
      </c>
      <c r="D491" s="42" t="e">
        <f>SUM(#REF!)</f>
        <v>#REF!</v>
      </c>
      <c r="IP491" s="1"/>
      <c r="IQ491" s="1"/>
      <c r="IR491" s="1"/>
      <c r="IS491" s="1"/>
      <c r="IT491" s="1"/>
      <c r="IU491" s="1"/>
      <c r="IV491" s="1"/>
    </row>
    <row r="492" spans="1:256" s="10" customFormat="1" x14ac:dyDescent="0.2">
      <c r="A492" s="39">
        <f t="shared" si="51"/>
        <v>475</v>
      </c>
      <c r="B492" s="40">
        <f t="shared" si="50"/>
        <v>56431</v>
      </c>
      <c r="C492" s="41" t="e">
        <f>IF(Pay_Num&lt;&gt;"",#REF!,"")</f>
        <v>#REF!</v>
      </c>
      <c r="D492" s="42" t="e">
        <f>SUM(#REF!)</f>
        <v>#REF!</v>
      </c>
      <c r="IP492" s="1"/>
      <c r="IQ492" s="1"/>
      <c r="IR492" s="1"/>
      <c r="IS492" s="1"/>
      <c r="IT492" s="1"/>
      <c r="IU492" s="1"/>
      <c r="IV492" s="1"/>
    </row>
    <row r="493" spans="1:256" s="10" customFormat="1" x14ac:dyDescent="0.2">
      <c r="A493" s="39">
        <f t="shared" si="51"/>
        <v>476</v>
      </c>
      <c r="B493" s="40">
        <f t="shared" si="50"/>
        <v>56462</v>
      </c>
      <c r="C493" s="41" t="e">
        <f>IF(Pay_Num&lt;&gt;"",#REF!,"")</f>
        <v>#REF!</v>
      </c>
      <c r="D493" s="42" t="e">
        <f>SUM(#REF!)</f>
        <v>#REF!</v>
      </c>
      <c r="IP493" s="1"/>
      <c r="IQ493" s="1"/>
      <c r="IR493" s="1"/>
      <c r="IS493" s="1"/>
      <c r="IT493" s="1"/>
      <c r="IU493" s="1"/>
      <c r="IV493" s="1"/>
    </row>
    <row r="494" spans="1:256" s="10" customFormat="1" x14ac:dyDescent="0.2">
      <c r="A494" s="39">
        <f t="shared" si="51"/>
        <v>477</v>
      </c>
      <c r="B494" s="40">
        <f t="shared" si="50"/>
        <v>56493</v>
      </c>
      <c r="C494" s="41" t="e">
        <f>IF(Pay_Num&lt;&gt;"",#REF!,"")</f>
        <v>#REF!</v>
      </c>
      <c r="D494" s="42" t="e">
        <f>SUM(#REF!)</f>
        <v>#REF!</v>
      </c>
      <c r="IP494" s="1"/>
      <c r="IQ494" s="1"/>
      <c r="IR494" s="1"/>
      <c r="IS494" s="1"/>
      <c r="IT494" s="1"/>
      <c r="IU494" s="1"/>
      <c r="IV494" s="1"/>
    </row>
    <row r="495" spans="1:256" s="10" customFormat="1" x14ac:dyDescent="0.2">
      <c r="A495" s="39">
        <f t="shared" si="51"/>
        <v>478</v>
      </c>
      <c r="B495" s="40">
        <f t="shared" si="50"/>
        <v>56523</v>
      </c>
      <c r="C495" s="41" t="e">
        <f>IF(Pay_Num&lt;&gt;"",#REF!,"")</f>
        <v>#REF!</v>
      </c>
      <c r="D495" s="42" t="e">
        <f>SUM(#REF!)</f>
        <v>#REF!</v>
      </c>
      <c r="IP495" s="1"/>
      <c r="IQ495" s="1"/>
      <c r="IR495" s="1"/>
      <c r="IS495" s="1"/>
      <c r="IT495" s="1"/>
      <c r="IU495" s="1"/>
      <c r="IV495" s="1"/>
    </row>
    <row r="496" spans="1:256" s="10" customFormat="1" x14ac:dyDescent="0.2">
      <c r="A496" s="39">
        <f t="shared" si="51"/>
        <v>479</v>
      </c>
      <c r="B496" s="40">
        <f t="shared" si="50"/>
        <v>56554</v>
      </c>
      <c r="C496" s="41" t="e">
        <f>IF(Pay_Num&lt;&gt;"",#REF!,"")</f>
        <v>#REF!</v>
      </c>
      <c r="D496" s="42" t="e">
        <f>SUM(#REF!)</f>
        <v>#REF!</v>
      </c>
      <c r="IP496" s="1"/>
      <c r="IQ496" s="1"/>
      <c r="IR496" s="1"/>
      <c r="IS496" s="1"/>
      <c r="IT496" s="1"/>
      <c r="IU496" s="1"/>
      <c r="IV496" s="1"/>
    </row>
    <row r="497" spans="1:256" s="10" customFormat="1" x14ac:dyDescent="0.2">
      <c r="A497" s="39">
        <f t="shared" si="51"/>
        <v>480</v>
      </c>
      <c r="B497" s="40">
        <f t="shared" si="50"/>
        <v>56584</v>
      </c>
      <c r="C497" s="41" t="e">
        <f>IF(Pay_Num&lt;&gt;"",#REF!,"")</f>
        <v>#REF!</v>
      </c>
      <c r="D497" s="42" t="e">
        <f>SUM(#REF!)</f>
        <v>#REF!</v>
      </c>
      <c r="IP497" s="1"/>
      <c r="IQ497" s="1"/>
      <c r="IR497" s="1"/>
      <c r="IS497" s="1"/>
      <c r="IT497" s="1"/>
      <c r="IU497" s="1"/>
      <c r="IV497" s="1"/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1 Year Proforma + 30 year</vt:lpstr>
      <vt:lpstr>Full 30 year proforma</vt:lpstr>
      <vt:lpstr>Loan Amortization Schedule</vt:lpstr>
      <vt:lpstr>Rent Growth Schedule</vt:lpstr>
      <vt:lpstr>Beg_Bal</vt:lpstr>
      <vt:lpstr>End_Bal</vt:lpstr>
      <vt:lpstr>Excel_BuiltIn_Print_Area</vt:lpstr>
      <vt:lpstr>Excel_BuiltIn_Print_Area_1</vt:lpstr>
      <vt:lpstr>Extra_Pay</vt:lpstr>
      <vt:lpstr>Int</vt:lpstr>
      <vt:lpstr>Interest_Rate</vt:lpstr>
      <vt:lpstr>Loan_Amount</vt:lpstr>
      <vt:lpstr>Loan_Start</vt:lpstr>
      <vt:lpstr>Loan_Years</vt:lpstr>
      <vt:lpstr>Num_Pmt_Per_Year</vt:lpstr>
      <vt:lpstr>Pay_Num</vt:lpstr>
      <vt:lpstr>Princ</vt:lpstr>
      <vt:lpstr>'1 Year Proforma + 30 year'!Print_Area</vt:lpstr>
      <vt:lpstr>Sched_Pay</vt:lpstr>
      <vt:lpstr>Scheduled_Extra_Payments</vt:lpstr>
      <vt:lpstr>Scheduled_Monthly_Payment</vt:lpstr>
      <vt:lpstr>Total_Pay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Richey</cp:lastModifiedBy>
  <dcterms:created xsi:type="dcterms:W3CDTF">2018-07-11T16:24:07Z</dcterms:created>
  <dcterms:modified xsi:type="dcterms:W3CDTF">2024-05-30T08:48:01Z</dcterms:modified>
</cp:coreProperties>
</file>