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iacovin/Dropbox/Research/Proposals/Magma Compressibility w:Taryn/_Model Testing/"/>
    </mc:Choice>
  </mc:AlternateContent>
  <xr:revisionPtr revIDLastSave="0" documentId="13_ncr:1_{0E1E7ADD-8FB3-5B43-B8C3-F9FF69AD0D8A}" xr6:coauthVersionLast="45" xr6:coauthVersionMax="45" xr10:uidLastSave="{00000000-0000-0000-0000-000000000000}"/>
  <bookViews>
    <workbookView xWindow="11960" yWindow="460" windowWidth="26000" windowHeight="18260" xr2:uid="{C4C1F099-E8D1-5A4E-A338-F161C1BF9FB4}"/>
  </bookViews>
  <sheets>
    <sheet name="Gas Comps" sheetId="1" r:id="rId1"/>
    <sheet name="Starting Comps" sheetId="3" r:id="rId2"/>
    <sheet name="Linear Regression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62" i="1" l="1"/>
  <c r="M53" i="1"/>
  <c r="K64" i="1"/>
  <c r="K63" i="1"/>
  <c r="K62" i="1"/>
  <c r="K55" i="1"/>
  <c r="K54" i="1"/>
  <c r="K53" i="1"/>
  <c r="I59" i="1"/>
  <c r="I60" i="1"/>
  <c r="I61" i="1"/>
  <c r="I62" i="1"/>
  <c r="I63" i="1"/>
  <c r="I64" i="1"/>
  <c r="I51" i="1"/>
  <c r="I52" i="1"/>
  <c r="I53" i="1"/>
  <c r="I54" i="1"/>
  <c r="I55" i="1"/>
  <c r="I50" i="1"/>
  <c r="C54" i="1"/>
  <c r="D54" i="1"/>
  <c r="C55" i="1"/>
  <c r="D55" i="1"/>
  <c r="C56" i="1"/>
  <c r="D56" i="1"/>
  <c r="C57" i="1"/>
  <c r="E57" i="1" s="1"/>
  <c r="D57" i="1"/>
  <c r="C58" i="1"/>
  <c r="D58" i="1"/>
  <c r="C59" i="1"/>
  <c r="D59" i="1"/>
  <c r="B55" i="1"/>
  <c r="B56" i="1"/>
  <c r="B57" i="1"/>
  <c r="B58" i="1"/>
  <c r="B59" i="1"/>
  <c r="B54" i="1"/>
  <c r="D46" i="1"/>
  <c r="D47" i="1"/>
  <c r="D48" i="1"/>
  <c r="D49" i="1"/>
  <c r="D50" i="1"/>
  <c r="E50" i="1" s="1"/>
  <c r="D45" i="1"/>
  <c r="C46" i="1"/>
  <c r="C47" i="1"/>
  <c r="C48" i="1"/>
  <c r="C49" i="1"/>
  <c r="C50" i="1"/>
  <c r="C45" i="1"/>
  <c r="E45" i="1" s="1"/>
  <c r="B46" i="1"/>
  <c r="B47" i="1"/>
  <c r="E47" i="1" s="1"/>
  <c r="B48" i="1"/>
  <c r="B49" i="1"/>
  <c r="E49" i="1" s="1"/>
  <c r="B50" i="1"/>
  <c r="B45" i="1"/>
  <c r="E59" i="1"/>
  <c r="E58" i="1"/>
  <c r="E56" i="1"/>
  <c r="E55" i="1"/>
  <c r="E48" i="1"/>
  <c r="E46" i="1"/>
  <c r="O21" i="3"/>
  <c r="P21" i="3"/>
  <c r="N21" i="3"/>
  <c r="E54" i="1" l="1"/>
  <c r="K40" i="1"/>
  <c r="K39" i="1"/>
  <c r="K38" i="1"/>
  <c r="K44" i="1" l="1"/>
  <c r="K45" i="1" s="1"/>
  <c r="J44" i="1"/>
  <c r="J45" i="1" s="1"/>
  <c r="I44" i="1"/>
  <c r="I45" i="1" s="1"/>
  <c r="H45" i="1" s="1"/>
  <c r="L50" i="1" l="1"/>
  <c r="J4" i="1"/>
  <c r="J5" i="1"/>
  <c r="J6" i="1"/>
  <c r="J7" i="1"/>
  <c r="J8" i="1"/>
  <c r="J3" i="1"/>
  <c r="L59" i="1" l="1"/>
  <c r="C11" i="1"/>
  <c r="D11" i="1"/>
  <c r="E11" i="1"/>
  <c r="F11" i="1"/>
  <c r="G11" i="1"/>
  <c r="H11" i="1"/>
  <c r="I11" i="1"/>
  <c r="C12" i="1"/>
  <c r="D12" i="1"/>
  <c r="E12" i="1"/>
  <c r="F12" i="1"/>
  <c r="G12" i="1"/>
  <c r="H12" i="1"/>
  <c r="I12" i="1"/>
  <c r="C13" i="1"/>
  <c r="D13" i="1"/>
  <c r="E13" i="1"/>
  <c r="F13" i="1"/>
  <c r="G13" i="1"/>
  <c r="H13" i="1"/>
  <c r="I13" i="1"/>
  <c r="C14" i="1"/>
  <c r="D14" i="1"/>
  <c r="E14" i="1"/>
  <c r="F14" i="1"/>
  <c r="G14" i="1"/>
  <c r="H14" i="1"/>
  <c r="I14" i="1"/>
  <c r="C15" i="1"/>
  <c r="D15" i="1"/>
  <c r="E15" i="1"/>
  <c r="F15" i="1"/>
  <c r="G15" i="1"/>
  <c r="H15" i="1"/>
  <c r="I15" i="1"/>
  <c r="C16" i="1"/>
  <c r="D16" i="1"/>
  <c r="E16" i="1"/>
  <c r="F16" i="1"/>
  <c r="G16" i="1"/>
  <c r="H16" i="1"/>
  <c r="I16" i="1"/>
  <c r="B12" i="1"/>
  <c r="B13" i="1"/>
  <c r="B14" i="1"/>
  <c r="B15" i="1"/>
  <c r="B16" i="1"/>
  <c r="B11" i="1"/>
  <c r="G24" i="1" l="1"/>
  <c r="J15" i="1"/>
  <c r="C22" i="1"/>
  <c r="C30" i="1" s="1"/>
  <c r="C19" i="1"/>
  <c r="C27" i="1" s="1"/>
  <c r="H20" i="1"/>
  <c r="F22" i="1"/>
  <c r="J14" i="1"/>
  <c r="B21" i="1"/>
  <c r="G22" i="1"/>
  <c r="F21" i="1"/>
  <c r="C23" i="1"/>
  <c r="C31" i="1" s="1"/>
  <c r="F23" i="1"/>
  <c r="J13" i="1"/>
  <c r="C20" i="1"/>
  <c r="C28" i="1" s="1"/>
  <c r="H24" i="1"/>
  <c r="C21" i="1"/>
  <c r="C29" i="1" s="1"/>
  <c r="H19" i="1"/>
  <c r="G19" i="1"/>
  <c r="G20" i="1"/>
  <c r="F19" i="1"/>
  <c r="B20" i="1"/>
  <c r="C68" i="1" s="1"/>
  <c r="H22" i="1"/>
  <c r="G21" i="1"/>
  <c r="C24" i="1"/>
  <c r="C32" i="1" s="1"/>
  <c r="H23" i="1"/>
  <c r="H21" i="1"/>
  <c r="F20" i="1"/>
  <c r="J12" i="1"/>
  <c r="B22" i="1"/>
  <c r="G23" i="1"/>
  <c r="F24" i="1"/>
  <c r="J11" i="1"/>
  <c r="B19" i="1"/>
  <c r="B24" i="1"/>
  <c r="B23" i="1"/>
  <c r="J16" i="1"/>
  <c r="D71" i="1" l="1"/>
  <c r="C69" i="1"/>
  <c r="C70" i="1"/>
  <c r="D69" i="1"/>
  <c r="B72" i="1"/>
  <c r="B70" i="1"/>
  <c r="B68" i="1"/>
  <c r="D68" i="1"/>
  <c r="C71" i="1"/>
  <c r="C72" i="1"/>
  <c r="B69" i="1"/>
  <c r="D67" i="1"/>
  <c r="C67" i="1"/>
  <c r="B71" i="1"/>
  <c r="B67" i="1"/>
  <c r="D70" i="1"/>
  <c r="D72" i="1"/>
  <c r="B29" i="1"/>
  <c r="D36" i="1"/>
  <c r="C36" i="1"/>
  <c r="B36" i="1"/>
  <c r="D32" i="1"/>
  <c r="B41" i="1"/>
  <c r="B37" i="1"/>
  <c r="B40" i="1"/>
  <c r="E29" i="1"/>
  <c r="E32" i="1"/>
  <c r="J21" i="1"/>
  <c r="D40" i="1"/>
  <c r="D31" i="1"/>
  <c r="D29" i="1"/>
  <c r="D38" i="1"/>
  <c r="D39" i="1"/>
  <c r="D30" i="1"/>
  <c r="J19" i="1"/>
  <c r="B27" i="1"/>
  <c r="C38" i="1"/>
  <c r="D41" i="1"/>
  <c r="D27" i="1"/>
  <c r="J22" i="1"/>
  <c r="B30" i="1"/>
  <c r="C39" i="1"/>
  <c r="B39" i="1"/>
  <c r="B28" i="1"/>
  <c r="C37" i="1"/>
  <c r="B31" i="1"/>
  <c r="C40" i="1"/>
  <c r="J20" i="1"/>
  <c r="E28" i="1"/>
  <c r="E27" i="1"/>
  <c r="C41" i="1"/>
  <c r="B32" i="1"/>
  <c r="B38" i="1"/>
  <c r="D28" i="1"/>
  <c r="D37" i="1"/>
  <c r="E31" i="1"/>
  <c r="E30" i="1"/>
  <c r="J23" i="1"/>
  <c r="J24" i="1"/>
  <c r="E70" i="1" l="1"/>
  <c r="E72" i="1"/>
  <c r="E40" i="1"/>
  <c r="E71" i="1"/>
  <c r="F29" i="1"/>
  <c r="E69" i="1"/>
  <c r="E67" i="1"/>
  <c r="E68" i="1"/>
  <c r="E38" i="1"/>
  <c r="F32" i="1"/>
  <c r="E41" i="1"/>
  <c r="E39" i="1"/>
  <c r="F27" i="1"/>
  <c r="E36" i="1"/>
  <c r="E37" i="1"/>
  <c r="F28" i="1"/>
  <c r="F30" i="1"/>
  <c r="F31" i="1"/>
</calcChain>
</file>

<file path=xl/sharedStrings.xml><?xml version="1.0" encoding="utf-8"?>
<sst xmlns="http://schemas.openxmlformats.org/spreadsheetml/2006/main" count="253" uniqueCount="96">
  <si>
    <t>Shallow EQ Fluid</t>
  </si>
  <si>
    <t>Int EQ Fluid</t>
  </si>
  <si>
    <t>CO2</t>
  </si>
  <si>
    <t>CO</t>
  </si>
  <si>
    <t>H2</t>
  </si>
  <si>
    <t>S2</t>
  </si>
  <si>
    <t>H2S</t>
  </si>
  <si>
    <t>H2O</t>
  </si>
  <si>
    <t>SO2</t>
  </si>
  <si>
    <t>O2</t>
  </si>
  <si>
    <t>Deep EQ Fluid</t>
  </si>
  <si>
    <t>Shallow degassing</t>
  </si>
  <si>
    <t>Int degassing</t>
  </si>
  <si>
    <t>Deep degassing</t>
  </si>
  <si>
    <t>mol fractions</t>
  </si>
  <si>
    <t>mol%</t>
  </si>
  <si>
    <t>normalized major species only</t>
  </si>
  <si>
    <t>sum</t>
  </si>
  <si>
    <t>AUGUSTINE FLUIDS DEPRESSURIZED TO ONE BAR</t>
  </si>
  <si>
    <t>normalized major species with S as Stot</t>
  </si>
  <si>
    <t>Stot</t>
  </si>
  <si>
    <t>Sum</t>
  </si>
  <si>
    <t>mol% SO2</t>
  </si>
  <si>
    <t>mol% CO2</t>
  </si>
  <si>
    <t>mol% H2O</t>
  </si>
  <si>
    <t>normalized SO2, CO2, H2O</t>
  </si>
  <si>
    <t>SURFACE GASES</t>
  </si>
  <si>
    <t>normalized Stot, CO2, H2O</t>
  </si>
  <si>
    <t>Surface Gas</t>
  </si>
  <si>
    <t>Shallow_EQ</t>
  </si>
  <si>
    <t>Int_EQ</t>
  </si>
  <si>
    <t>Deep_EQ</t>
  </si>
  <si>
    <t>Shallow_degass</t>
  </si>
  <si>
    <t>Int_Degass</t>
  </si>
  <si>
    <t>Deep_Degass</t>
  </si>
  <si>
    <t>Total flux</t>
  </si>
  <si>
    <t>SO2 flux</t>
  </si>
  <si>
    <t>CO2 flux</t>
  </si>
  <si>
    <t>H2O flux</t>
  </si>
  <si>
    <t>**using this value for plotting and matching - 10 Feb 2020</t>
  </si>
  <si>
    <t>SURFACE GAS FLUXES - t/d</t>
  </si>
  <si>
    <t>*total gas flux from Valerie thesis</t>
  </si>
  <si>
    <t>SHALLOW MELT</t>
  </si>
  <si>
    <t>SiO2</t>
  </si>
  <si>
    <t>TiO2</t>
  </si>
  <si>
    <t>FeO</t>
  </si>
  <si>
    <t>Fe2O3</t>
  </si>
  <si>
    <t>MnO</t>
  </si>
  <si>
    <t>MgO</t>
  </si>
  <si>
    <t>CaO</t>
  </si>
  <si>
    <t>Na2O</t>
  </si>
  <si>
    <t>K2O</t>
  </si>
  <si>
    <t>P2O5</t>
  </si>
  <si>
    <t>S</t>
  </si>
  <si>
    <t>Al2O3</t>
  </si>
  <si>
    <t>INTERMEDIATE MELT</t>
  </si>
  <si>
    <t>DEEP MELT</t>
  </si>
  <si>
    <t>THERMO INPUTS</t>
  </si>
  <si>
    <t>XCO2</t>
  </si>
  <si>
    <t>TEMP</t>
  </si>
  <si>
    <t>PRESS</t>
  </si>
  <si>
    <t>fH2O</t>
  </si>
  <si>
    <t>calc'd</t>
  </si>
  <si>
    <t>calcd</t>
  </si>
  <si>
    <t>fO2</t>
  </si>
  <si>
    <t>QFM+1</t>
  </si>
  <si>
    <t>Magma composition</t>
  </si>
  <si>
    <t>Thermodynamic inputs</t>
  </si>
  <si>
    <t>Shallow</t>
  </si>
  <si>
    <t>Intermediate</t>
  </si>
  <si>
    <t>Deep</t>
  </si>
  <si>
    <t>Table X. Magma compositions and inputs for thermodyanmic modeling</t>
  </si>
  <si>
    <t>T (°C)</t>
  </si>
  <si>
    <t>P (bars)</t>
  </si>
  <si>
    <t>H2O/CO2</t>
  </si>
  <si>
    <t>Shallow EQ</t>
  </si>
  <si>
    <t>Int EQ</t>
  </si>
  <si>
    <t>Deep EQ</t>
  </si>
  <si>
    <t>Shallow Degass</t>
  </si>
  <si>
    <t>Int Degass</t>
  </si>
  <si>
    <t>Deep Degass</t>
  </si>
  <si>
    <t>Deep contrib</t>
  </si>
  <si>
    <t>All shallow</t>
  </si>
  <si>
    <t>mol% contrib</t>
  </si>
  <si>
    <t>Total flux (T/d)</t>
  </si>
  <si>
    <t>total dissolved volatiles wt%</t>
  </si>
  <si>
    <t>t/d</t>
  </si>
  <si>
    <t>Mmol/day</t>
  </si>
  <si>
    <t>total moles volatiles</t>
  </si>
  <si>
    <t>MOLES</t>
  </si>
  <si>
    <t>WT%</t>
  </si>
  <si>
    <t>MOL PROP OX</t>
  </si>
  <si>
    <t>shallow</t>
  </si>
  <si>
    <t>T/day melt</t>
  </si>
  <si>
    <t>R (Eqfliud/melt)</t>
  </si>
  <si>
    <t>Exsolved volatile mass % (not incl. xtals)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</si>
</sst>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sz val="18"/>
      <color rgb="FF002060"/>
      <name val="Calibri"/>
      <family val="2"/>
      <scheme val="minor"/>
    </font>
    <font>
      <sz val="10"/>
      <color theme="1"/>
      <name val="Arial"/>
      <family val="2"/>
    </font>
    <font>
      <sz val="12"/>
      <color rgb="FF002060"/>
      <name val="Arial"/>
      <family val="2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2" fontId="0" fillId="0" borderId="0" xfId="0" applyNumberFormat="1"/>
    <xf numFmtId="0" fontId="1" fillId="0" borderId="0" xfId="0" applyFont="1"/>
    <xf numFmtId="0" fontId="3" fillId="2" borderId="0" xfId="0" applyFont="1" applyFill="1"/>
    <xf numFmtId="0" fontId="2" fillId="2" borderId="0" xfId="0" applyFont="1" applyFill="1"/>
    <xf numFmtId="0" fontId="0" fillId="3" borderId="0" xfId="0" applyFill="1"/>
    <xf numFmtId="2" fontId="0" fillId="3" borderId="0" xfId="0" applyNumberFormat="1" applyFill="1"/>
    <xf numFmtId="11" fontId="0" fillId="0" borderId="0" xfId="0" applyNumberFormat="1"/>
    <xf numFmtId="0" fontId="0" fillId="0" borderId="0" xfId="0" applyFont="1"/>
    <xf numFmtId="11" fontId="0" fillId="0" borderId="0" xfId="0" applyNumberFormat="1" applyFont="1"/>
    <xf numFmtId="0" fontId="5" fillId="0" borderId="0" xfId="0" applyFont="1"/>
    <xf numFmtId="0" fontId="6" fillId="4" borderId="0" xfId="0" applyFont="1" applyFill="1"/>
    <xf numFmtId="0" fontId="0" fillId="4" borderId="0" xfId="0" applyFill="1"/>
    <xf numFmtId="0" fontId="6" fillId="5" borderId="0" xfId="0" applyFont="1" applyFill="1"/>
    <xf numFmtId="0" fontId="0" fillId="5" borderId="0" xfId="0" applyFill="1"/>
    <xf numFmtId="0" fontId="4" fillId="6" borderId="0" xfId="0" applyFont="1" applyFill="1"/>
    <xf numFmtId="0" fontId="0" fillId="6" borderId="0" xfId="0" applyFill="1"/>
    <xf numFmtId="0" fontId="7" fillId="0" borderId="0" xfId="0" applyFont="1"/>
    <xf numFmtId="0" fontId="0" fillId="7" borderId="0" xfId="0" applyFill="1"/>
    <xf numFmtId="0" fontId="0" fillId="7" borderId="0" xfId="0" applyFill="1" applyAlignment="1">
      <alignment horizontal="center"/>
    </xf>
    <xf numFmtId="0" fontId="8" fillId="7" borderId="0" xfId="0" applyFont="1" applyFill="1"/>
    <xf numFmtId="0" fontId="0" fillId="7" borderId="1" xfId="0" applyFill="1" applyBorder="1"/>
    <xf numFmtId="0" fontId="0" fillId="7" borderId="1" xfId="0" applyFill="1" applyBorder="1" applyAlignment="1">
      <alignment horizontal="center"/>
    </xf>
    <xf numFmtId="0" fontId="0" fillId="0" borderId="0" xfId="0" applyBorder="1" applyAlignment="1">
      <alignment horizontal="left" wrapText="1"/>
    </xf>
    <xf numFmtId="0" fontId="0" fillId="0" borderId="1" xfId="0" applyBorder="1" applyAlignment="1">
      <alignment horizontal="left" wrapText="1"/>
    </xf>
    <xf numFmtId="0" fontId="6" fillId="0" borderId="0" xfId="0" applyFont="1"/>
    <xf numFmtId="0" fontId="6" fillId="3" borderId="0" xfId="0" applyFont="1" applyFill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AC945-642E-A94E-A0DF-FE9478224C59}">
  <dimension ref="A1:M72"/>
  <sheetViews>
    <sheetView tabSelected="1" topLeftCell="A34" workbookViewId="0">
      <selection activeCell="L61" sqref="L61"/>
    </sheetView>
  </sheetViews>
  <sheetFormatPr baseColWidth="10" defaultRowHeight="16" x14ac:dyDescent="0.2"/>
  <cols>
    <col min="1" max="1" width="24.83203125" customWidth="1"/>
    <col min="9" max="9" width="14.5" customWidth="1"/>
    <col min="10" max="10" width="17.5" customWidth="1"/>
    <col min="11" max="11" width="24.83203125" bestFit="1" customWidth="1"/>
    <col min="12" max="12" width="13.6640625" customWidth="1"/>
    <col min="14" max="14" width="24.83203125" bestFit="1" customWidth="1"/>
  </cols>
  <sheetData>
    <row r="1" spans="1:10" ht="24" x14ac:dyDescent="0.3">
      <c r="A1" s="2" t="s">
        <v>18</v>
      </c>
    </row>
    <row r="2" spans="1:10" x14ac:dyDescent="0.2">
      <c r="A2" t="s">
        <v>14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17</v>
      </c>
    </row>
    <row r="3" spans="1:10" x14ac:dyDescent="0.2">
      <c r="A3" t="s">
        <v>0</v>
      </c>
      <c r="B3">
        <v>0.1</v>
      </c>
      <c r="C3">
        <v>5.1257456115658899E-4</v>
      </c>
      <c r="D3">
        <v>1.28278807281291E-3</v>
      </c>
      <c r="E3">
        <v>8.20286060415443E-2</v>
      </c>
      <c r="F3">
        <v>0.41430574457682101</v>
      </c>
      <c r="G3">
        <v>0.35836508431727399</v>
      </c>
      <c r="H3">
        <v>4.3505202430389203E-2</v>
      </c>
      <c r="I3" s="7">
        <v>2.2708060348301301E-15</v>
      </c>
      <c r="J3">
        <f>SUM(B3:I3)</f>
        <v>1.0000000000000004</v>
      </c>
    </row>
    <row r="4" spans="1:10" x14ac:dyDescent="0.2">
      <c r="A4" t="s">
        <v>1</v>
      </c>
      <c r="B4">
        <v>3.0027660033944598E-2</v>
      </c>
      <c r="C4">
        <v>1.61580402882842E-4</v>
      </c>
      <c r="D4">
        <v>1.01765667363132E-3</v>
      </c>
      <c r="E4">
        <v>0.17732371298177599</v>
      </c>
      <c r="F4">
        <v>3.7142574483605403E-2</v>
      </c>
      <c r="G4">
        <v>0.191602817630009</v>
      </c>
      <c r="H4">
        <v>0.562723997794077</v>
      </c>
      <c r="I4" s="7">
        <v>7.3914546061320101E-14</v>
      </c>
      <c r="J4">
        <f t="shared" ref="J4:J8" si="0">SUM(B4:I4)</f>
        <v>1</v>
      </c>
    </row>
    <row r="5" spans="1:10" x14ac:dyDescent="0.2">
      <c r="A5" t="s">
        <v>10</v>
      </c>
      <c r="B5">
        <v>4.5889360628582898E-2</v>
      </c>
      <c r="C5">
        <v>3.4774479208395098E-4</v>
      </c>
      <c r="D5">
        <v>1.9676274327009801E-3</v>
      </c>
      <c r="E5">
        <v>1.2320874171419799E-2</v>
      </c>
      <c r="F5">
        <v>5.55677652044887E-3</v>
      </c>
      <c r="G5">
        <v>0.34319873397864897</v>
      </c>
      <c r="H5">
        <v>0.59071888245987303</v>
      </c>
      <c r="I5" s="7">
        <v>1.6241055576257799E-11</v>
      </c>
      <c r="J5">
        <f t="shared" si="0"/>
        <v>0.99999999999999956</v>
      </c>
    </row>
    <row r="6" spans="1:10" x14ac:dyDescent="0.2">
      <c r="A6" t="s">
        <v>11</v>
      </c>
      <c r="B6" s="8">
        <v>4.00172682500412E-4</v>
      </c>
      <c r="C6" s="9">
        <v>2.4765060811804501E-6</v>
      </c>
      <c r="D6" s="8">
        <v>5.4809360654662301E-3</v>
      </c>
      <c r="E6" s="9">
        <v>1.58222501709322E-5</v>
      </c>
      <c r="F6" s="8">
        <v>6.7134785229114205E-4</v>
      </c>
      <c r="G6" s="8">
        <v>0.97751603305462698</v>
      </c>
      <c r="H6" s="8">
        <v>1.59132115866783E-2</v>
      </c>
      <c r="I6" s="9">
        <v>2.1847499355932202E-12</v>
      </c>
      <c r="J6">
        <f t="shared" si="0"/>
        <v>0.99999999999999978</v>
      </c>
    </row>
    <row r="7" spans="1:10" x14ac:dyDescent="0.2">
      <c r="A7" t="s">
        <v>12</v>
      </c>
      <c r="B7" s="8">
        <v>4.43511546766819E-4</v>
      </c>
      <c r="C7" s="9">
        <v>2.3865587371365098E-6</v>
      </c>
      <c r="D7" s="8">
        <v>1.0999403415838101E-3</v>
      </c>
      <c r="E7" s="8">
        <v>0.197839775686252</v>
      </c>
      <c r="F7" s="8">
        <v>4.6037574033779699E-2</v>
      </c>
      <c r="G7" s="8">
        <v>0.20709505880833501</v>
      </c>
      <c r="H7" s="8">
        <v>0.54748175302448299</v>
      </c>
      <c r="I7" s="9">
        <v>6.2709241122583099E-14</v>
      </c>
      <c r="J7">
        <f t="shared" si="0"/>
        <v>1.0000000000000002</v>
      </c>
    </row>
    <row r="8" spans="1:10" x14ac:dyDescent="0.2">
      <c r="A8" t="s">
        <v>13</v>
      </c>
      <c r="B8" s="8">
        <v>1.8476676252474E-3</v>
      </c>
      <c r="C8" s="9">
        <v>1.4001432693348599E-5</v>
      </c>
      <c r="D8" s="8">
        <v>5.1824133302618702E-3</v>
      </c>
      <c r="E8" s="8">
        <v>1.3287974048729301E-4</v>
      </c>
      <c r="F8" s="8">
        <v>1.0615997142906901E-3</v>
      </c>
      <c r="G8" s="8">
        <v>0.90393011621028896</v>
      </c>
      <c r="H8" s="8">
        <v>8.7831321913438898E-2</v>
      </c>
      <c r="I8" s="9">
        <v>3.3291559156216203E-11</v>
      </c>
      <c r="J8">
        <f t="shared" si="0"/>
        <v>1</v>
      </c>
    </row>
    <row r="10" spans="1:10" x14ac:dyDescent="0.2">
      <c r="A10" t="s">
        <v>15</v>
      </c>
    </row>
    <row r="11" spans="1:10" x14ac:dyDescent="0.2">
      <c r="A11" t="s">
        <v>0</v>
      </c>
      <c r="B11" s="1">
        <f>B3*100</f>
        <v>10</v>
      </c>
      <c r="C11" s="1">
        <f t="shared" ref="C11:I11" si="1">C3*100</f>
        <v>5.1257456115658899E-2</v>
      </c>
      <c r="D11" s="1">
        <f t="shared" si="1"/>
        <v>0.12827880728129099</v>
      </c>
      <c r="E11" s="1">
        <f t="shared" si="1"/>
        <v>8.2028606041544307</v>
      </c>
      <c r="F11" s="1">
        <f t="shared" si="1"/>
        <v>41.430574457682098</v>
      </c>
      <c r="G11" s="1">
        <f t="shared" si="1"/>
        <v>35.836508431727395</v>
      </c>
      <c r="H11" s="1">
        <f t="shared" si="1"/>
        <v>4.35052024303892</v>
      </c>
      <c r="I11" s="1">
        <f t="shared" si="1"/>
        <v>2.2708060348301302E-13</v>
      </c>
      <c r="J11">
        <f t="shared" ref="J11:J16" si="2">SUM(B11:I11)</f>
        <v>100.00000000000001</v>
      </c>
    </row>
    <row r="12" spans="1:10" x14ac:dyDescent="0.2">
      <c r="A12" t="s">
        <v>1</v>
      </c>
      <c r="B12" s="1">
        <f t="shared" ref="B12:I16" si="3">B4*100</f>
        <v>3.0027660033944596</v>
      </c>
      <c r="C12" s="1">
        <f t="shared" si="3"/>
        <v>1.6158040288284201E-2</v>
      </c>
      <c r="D12" s="1">
        <f t="shared" si="3"/>
        <v>0.101765667363132</v>
      </c>
      <c r="E12" s="1">
        <f t="shared" si="3"/>
        <v>17.7323712981776</v>
      </c>
      <c r="F12" s="1">
        <f t="shared" si="3"/>
        <v>3.7142574483605402</v>
      </c>
      <c r="G12" s="1">
        <f t="shared" si="3"/>
        <v>19.160281763000899</v>
      </c>
      <c r="H12" s="1">
        <f t="shared" si="3"/>
        <v>56.272399779407699</v>
      </c>
      <c r="I12" s="1">
        <f t="shared" si="3"/>
        <v>7.3914546061320104E-12</v>
      </c>
      <c r="J12">
        <f t="shared" si="2"/>
        <v>100</v>
      </c>
    </row>
    <row r="13" spans="1:10" x14ac:dyDescent="0.2">
      <c r="A13" t="s">
        <v>10</v>
      </c>
      <c r="B13" s="1">
        <f t="shared" si="3"/>
        <v>4.5889360628582896</v>
      </c>
      <c r="C13" s="1">
        <f t="shared" si="3"/>
        <v>3.4774479208395097E-2</v>
      </c>
      <c r="D13" s="1">
        <f t="shared" si="3"/>
        <v>0.19676274327009802</v>
      </c>
      <c r="E13" s="1">
        <f t="shared" si="3"/>
        <v>1.23208741714198</v>
      </c>
      <c r="F13" s="1">
        <f t="shared" si="3"/>
        <v>0.55567765204488695</v>
      </c>
      <c r="G13" s="1">
        <f t="shared" si="3"/>
        <v>34.319873397864896</v>
      </c>
      <c r="H13" s="1">
        <f t="shared" si="3"/>
        <v>59.071888245987303</v>
      </c>
      <c r="I13" s="1">
        <f t="shared" si="3"/>
        <v>1.6241055576257798E-9</v>
      </c>
      <c r="J13">
        <f t="shared" si="2"/>
        <v>99.999999999999943</v>
      </c>
    </row>
    <row r="14" spans="1:10" x14ac:dyDescent="0.2">
      <c r="A14" t="s">
        <v>11</v>
      </c>
      <c r="B14" s="1">
        <f t="shared" si="3"/>
        <v>4.0017268250041198E-2</v>
      </c>
      <c r="C14" s="1">
        <f t="shared" si="3"/>
        <v>2.4765060811804499E-4</v>
      </c>
      <c r="D14" s="1">
        <f t="shared" si="3"/>
        <v>0.54809360654662298</v>
      </c>
      <c r="E14" s="1">
        <f t="shared" si="3"/>
        <v>1.5822250170932201E-3</v>
      </c>
      <c r="F14" s="1">
        <f t="shared" si="3"/>
        <v>6.7134785229114202E-2</v>
      </c>
      <c r="G14" s="1">
        <f t="shared" si="3"/>
        <v>97.751603305462694</v>
      </c>
      <c r="H14" s="1">
        <f t="shared" si="3"/>
        <v>1.59132115866783</v>
      </c>
      <c r="I14" s="1">
        <f t="shared" si="3"/>
        <v>2.1847499355932201E-10</v>
      </c>
      <c r="J14">
        <f t="shared" si="2"/>
        <v>99.999999999999986</v>
      </c>
    </row>
    <row r="15" spans="1:10" x14ac:dyDescent="0.2">
      <c r="A15" t="s">
        <v>12</v>
      </c>
      <c r="B15" s="1">
        <f t="shared" si="3"/>
        <v>4.4351154676681902E-2</v>
      </c>
      <c r="C15" s="1">
        <f t="shared" si="3"/>
        <v>2.3865587371365099E-4</v>
      </c>
      <c r="D15" s="1">
        <f t="shared" si="3"/>
        <v>0.10999403415838101</v>
      </c>
      <c r="E15" s="1">
        <f t="shared" si="3"/>
        <v>19.7839775686252</v>
      </c>
      <c r="F15" s="1">
        <f t="shared" si="3"/>
        <v>4.60375740337797</v>
      </c>
      <c r="G15" s="1">
        <f t="shared" si="3"/>
        <v>20.7095058808335</v>
      </c>
      <c r="H15" s="1">
        <f t="shared" si="3"/>
        <v>54.748175302448296</v>
      </c>
      <c r="I15" s="1">
        <f t="shared" si="3"/>
        <v>6.2709241122583102E-12</v>
      </c>
      <c r="J15">
        <f t="shared" si="2"/>
        <v>100.00000000000001</v>
      </c>
    </row>
    <row r="16" spans="1:10" x14ac:dyDescent="0.2">
      <c r="A16" t="s">
        <v>13</v>
      </c>
      <c r="B16" s="1">
        <f t="shared" si="3"/>
        <v>0.18476676252474</v>
      </c>
      <c r="C16" s="1">
        <f t="shared" si="3"/>
        <v>1.4001432693348599E-3</v>
      </c>
      <c r="D16" s="1">
        <f t="shared" si="3"/>
        <v>0.51824133302618702</v>
      </c>
      <c r="E16" s="1">
        <f t="shared" si="3"/>
        <v>1.3287974048729301E-2</v>
      </c>
      <c r="F16" s="1">
        <f t="shared" si="3"/>
        <v>0.10615997142906901</v>
      </c>
      <c r="G16" s="1">
        <f t="shared" si="3"/>
        <v>90.39301162102889</v>
      </c>
      <c r="H16" s="1">
        <f t="shared" si="3"/>
        <v>8.7831321913438902</v>
      </c>
      <c r="I16" s="1">
        <f t="shared" si="3"/>
        <v>3.3291559156216202E-9</v>
      </c>
      <c r="J16">
        <f t="shared" si="2"/>
        <v>100.00000000000001</v>
      </c>
    </row>
    <row r="18" spans="1:10" x14ac:dyDescent="0.2">
      <c r="A18" t="s">
        <v>16</v>
      </c>
    </row>
    <row r="19" spans="1:10" x14ac:dyDescent="0.2">
      <c r="A19" t="s">
        <v>0</v>
      </c>
      <c r="B19" s="1">
        <f t="shared" ref="B19:C24" si="4">100*B11/($B11+$C11+$F11+$G11+$H11)</f>
        <v>10.908829820502348</v>
      </c>
      <c r="C19" s="1">
        <f t="shared" si="4"/>
        <v>5.5915886579759023E-2</v>
      </c>
      <c r="D19" s="1"/>
      <c r="E19" s="1"/>
      <c r="F19" s="1">
        <f t="shared" ref="F19:H24" si="5">100*F11/($B11+$C11+$F11+$G11+$H11)</f>
        <v>45.19590861245053</v>
      </c>
      <c r="G19" s="1">
        <f t="shared" si="5"/>
        <v>39.093437184271167</v>
      </c>
      <c r="H19" s="1">
        <f t="shared" si="5"/>
        <v>4.7459084961962095</v>
      </c>
      <c r="J19">
        <f t="shared" ref="J19:J24" si="6">SUM(B19:I19)</f>
        <v>100.00000000000001</v>
      </c>
    </row>
    <row r="20" spans="1:10" x14ac:dyDescent="0.2">
      <c r="A20" t="s">
        <v>1</v>
      </c>
      <c r="B20" s="1">
        <f t="shared" si="4"/>
        <v>3.6545176944534852</v>
      </c>
      <c r="C20" s="1">
        <f t="shared" si="4"/>
        <v>1.9665150089775343E-2</v>
      </c>
      <c r="D20" s="1"/>
      <c r="E20" s="1"/>
      <c r="F20" s="1">
        <f t="shared" si="5"/>
        <v>4.5204386726920447</v>
      </c>
      <c r="G20" s="1">
        <f t="shared" si="5"/>
        <v>23.319029406369228</v>
      </c>
      <c r="H20" s="1">
        <f t="shared" si="5"/>
        <v>68.486349076395456</v>
      </c>
      <c r="J20">
        <f t="shared" si="6"/>
        <v>99.999999999999986</v>
      </c>
    </row>
    <row r="21" spans="1:10" x14ac:dyDescent="0.2">
      <c r="A21" t="s">
        <v>10</v>
      </c>
      <c r="B21" s="1">
        <f t="shared" si="4"/>
        <v>4.6554555469849079</v>
      </c>
      <c r="C21" s="1">
        <f t="shared" si="4"/>
        <v>3.5278556926199134E-2</v>
      </c>
      <c r="D21" s="1"/>
      <c r="E21" s="1"/>
      <c r="F21" s="1">
        <f t="shared" si="5"/>
        <v>0.56373254543376827</v>
      </c>
      <c r="G21" s="1">
        <f t="shared" si="5"/>
        <v>34.817361321524231</v>
      </c>
      <c r="H21" s="1">
        <f t="shared" si="5"/>
        <v>59.928172029130884</v>
      </c>
      <c r="J21">
        <f t="shared" si="6"/>
        <v>100</v>
      </c>
    </row>
    <row r="22" spans="1:10" x14ac:dyDescent="0.2">
      <c r="A22" t="s">
        <v>11</v>
      </c>
      <c r="B22" s="1">
        <f t="shared" si="4"/>
        <v>4.023844928082182E-2</v>
      </c>
      <c r="C22" s="1">
        <f t="shared" si="4"/>
        <v>2.4901940761816932E-4</v>
      </c>
      <c r="D22" s="1"/>
      <c r="E22" s="1"/>
      <c r="F22" s="1">
        <f t="shared" si="5"/>
        <v>6.7505848563708407E-2</v>
      </c>
      <c r="G22" s="1">
        <f t="shared" si="5"/>
        <v>98.291890069778191</v>
      </c>
      <c r="H22" s="1">
        <f t="shared" si="5"/>
        <v>1.6001166129696565</v>
      </c>
      <c r="J22">
        <f t="shared" si="6"/>
        <v>100</v>
      </c>
    </row>
    <row r="23" spans="1:10" x14ac:dyDescent="0.2">
      <c r="A23" t="s">
        <v>12</v>
      </c>
      <c r="B23" s="1">
        <f t="shared" si="4"/>
        <v>5.5365564320283424E-2</v>
      </c>
      <c r="C23" s="1">
        <f t="shared" si="4"/>
        <v>2.9792498578292093E-4</v>
      </c>
      <c r="D23" s="1"/>
      <c r="E23" s="1"/>
      <c r="F23" s="1">
        <f t="shared" si="5"/>
        <v>5.7470798334302442</v>
      </c>
      <c r="G23" s="1">
        <f t="shared" si="5"/>
        <v>25.852618454811253</v>
      </c>
      <c r="H23" s="1">
        <f t="shared" si="5"/>
        <v>68.344638222452431</v>
      </c>
      <c r="J23">
        <f t="shared" si="6"/>
        <v>100</v>
      </c>
    </row>
    <row r="24" spans="1:10" x14ac:dyDescent="0.2">
      <c r="A24" t="s">
        <v>13</v>
      </c>
      <c r="B24" s="1">
        <f t="shared" si="4"/>
        <v>0.18575410001157883</v>
      </c>
      <c r="C24" s="1">
        <f t="shared" si="4"/>
        <v>1.407625209906148E-3</v>
      </c>
      <c r="D24" s="1"/>
      <c r="E24" s="1"/>
      <c r="F24" s="1">
        <f t="shared" si="5"/>
        <v>0.10672725808799731</v>
      </c>
      <c r="G24" s="1">
        <f t="shared" si="5"/>
        <v>90.876044433327849</v>
      </c>
      <c r="H24" s="1">
        <f t="shared" si="5"/>
        <v>8.8300665833626582</v>
      </c>
      <c r="J24">
        <f t="shared" si="6"/>
        <v>100</v>
      </c>
    </row>
    <row r="26" spans="1:10" x14ac:dyDescent="0.2">
      <c r="A26" t="s">
        <v>19</v>
      </c>
      <c r="B26" t="s">
        <v>2</v>
      </c>
      <c r="C26" t="s">
        <v>3</v>
      </c>
      <c r="D26" t="s">
        <v>7</v>
      </c>
      <c r="E26" t="s">
        <v>20</v>
      </c>
      <c r="F26" t="s">
        <v>21</v>
      </c>
    </row>
    <row r="27" spans="1:10" x14ac:dyDescent="0.2">
      <c r="A27" t="s">
        <v>0</v>
      </c>
      <c r="B27" s="1">
        <f>B19</f>
        <v>10.908829820502348</v>
      </c>
      <c r="C27" s="1">
        <f>C19</f>
        <v>5.5915886579759023E-2</v>
      </c>
      <c r="D27" s="1">
        <f t="shared" ref="D27:D32" si="7">G19</f>
        <v>39.093437184271167</v>
      </c>
      <c r="E27" s="1">
        <f>F19+H19</f>
        <v>49.941817108646738</v>
      </c>
      <c r="F27" s="1">
        <f>SUM(B27:E27)</f>
        <v>100.00000000000001</v>
      </c>
    </row>
    <row r="28" spans="1:10" x14ac:dyDescent="0.2">
      <c r="A28" t="s">
        <v>1</v>
      </c>
      <c r="B28" s="1">
        <f t="shared" ref="B28:C32" si="8">B20</f>
        <v>3.6545176944534852</v>
      </c>
      <c r="C28" s="1">
        <f t="shared" si="8"/>
        <v>1.9665150089775343E-2</v>
      </c>
      <c r="D28" s="1">
        <f t="shared" si="7"/>
        <v>23.319029406369228</v>
      </c>
      <c r="E28" s="1">
        <f t="shared" ref="E28:E32" si="9">F20+H20</f>
        <v>73.006787749087493</v>
      </c>
      <c r="F28" s="1">
        <f t="shared" ref="F28:F32" si="10">SUM(B28:E28)</f>
        <v>99.999999999999986</v>
      </c>
    </row>
    <row r="29" spans="1:10" x14ac:dyDescent="0.2">
      <c r="A29" t="s">
        <v>10</v>
      </c>
      <c r="B29" s="1">
        <f t="shared" si="8"/>
        <v>4.6554555469849079</v>
      </c>
      <c r="C29" s="1">
        <f t="shared" si="8"/>
        <v>3.5278556926199134E-2</v>
      </c>
      <c r="D29" s="1">
        <f t="shared" si="7"/>
        <v>34.817361321524231</v>
      </c>
      <c r="E29" s="1">
        <f t="shared" si="9"/>
        <v>60.49190457456465</v>
      </c>
      <c r="F29" s="1">
        <f t="shared" si="10"/>
        <v>99.999999999999986</v>
      </c>
    </row>
    <row r="30" spans="1:10" x14ac:dyDescent="0.2">
      <c r="A30" t="s">
        <v>11</v>
      </c>
      <c r="B30" s="1">
        <f t="shared" si="8"/>
        <v>4.023844928082182E-2</v>
      </c>
      <c r="C30" s="1">
        <f t="shared" si="8"/>
        <v>2.4901940761816932E-4</v>
      </c>
      <c r="D30" s="1">
        <f t="shared" si="7"/>
        <v>98.291890069778191</v>
      </c>
      <c r="E30" s="1">
        <f t="shared" si="9"/>
        <v>1.6676224615333648</v>
      </c>
      <c r="F30" s="1">
        <f t="shared" si="10"/>
        <v>100</v>
      </c>
    </row>
    <row r="31" spans="1:10" x14ac:dyDescent="0.2">
      <c r="A31" t="s">
        <v>12</v>
      </c>
      <c r="B31" s="1">
        <f t="shared" si="8"/>
        <v>5.5365564320283424E-2</v>
      </c>
      <c r="C31" s="1">
        <f t="shared" si="8"/>
        <v>2.9792498578292093E-4</v>
      </c>
      <c r="D31" s="1">
        <f t="shared" si="7"/>
        <v>25.852618454811253</v>
      </c>
      <c r="E31" s="1">
        <f t="shared" si="9"/>
        <v>74.09171805588268</v>
      </c>
      <c r="F31" s="1">
        <f t="shared" si="10"/>
        <v>100</v>
      </c>
    </row>
    <row r="32" spans="1:10" x14ac:dyDescent="0.2">
      <c r="A32" t="s">
        <v>13</v>
      </c>
      <c r="B32" s="1">
        <f t="shared" si="8"/>
        <v>0.18575410001157883</v>
      </c>
      <c r="C32" s="1">
        <f t="shared" si="8"/>
        <v>1.407625209906148E-3</v>
      </c>
      <c r="D32" s="1">
        <f t="shared" si="7"/>
        <v>90.876044433327849</v>
      </c>
      <c r="E32" s="1">
        <f t="shared" si="9"/>
        <v>8.9367938414506547</v>
      </c>
      <c r="F32" s="1">
        <f t="shared" si="10"/>
        <v>99.999999999999986</v>
      </c>
    </row>
    <row r="33" spans="1:12" x14ac:dyDescent="0.2">
      <c r="B33" s="1"/>
      <c r="C33" s="1"/>
      <c r="D33" s="1"/>
      <c r="E33" s="1"/>
      <c r="F33" s="1"/>
    </row>
    <row r="34" spans="1:12" x14ac:dyDescent="0.2">
      <c r="A34" s="25" t="s">
        <v>89</v>
      </c>
    </row>
    <row r="35" spans="1:12" x14ac:dyDescent="0.2">
      <c r="A35" s="5" t="s">
        <v>25</v>
      </c>
      <c r="B35" s="5" t="s">
        <v>8</v>
      </c>
      <c r="C35" s="5" t="s">
        <v>2</v>
      </c>
      <c r="D35" s="5" t="s">
        <v>7</v>
      </c>
      <c r="E35" s="5" t="s">
        <v>21</v>
      </c>
    </row>
    <row r="36" spans="1:12" x14ac:dyDescent="0.2">
      <c r="A36" s="5" t="s">
        <v>0</v>
      </c>
      <c r="B36" s="6">
        <f>100*H19/($H19+$G19+$B19)</f>
        <v>8.6686148949605606</v>
      </c>
      <c r="C36" s="6">
        <f>100*B19/($H19+$G19+$B19)</f>
        <v>19.925467325041954</v>
      </c>
      <c r="D36" s="6">
        <f>100*G19/($H19+$G19+$B19)</f>
        <v>71.40591777999748</v>
      </c>
      <c r="E36" s="5">
        <f>SUM(B36:D36)</f>
        <v>100</v>
      </c>
      <c r="H36" s="3" t="s">
        <v>26</v>
      </c>
      <c r="I36" s="4"/>
      <c r="J36" s="4"/>
    </row>
    <row r="37" spans="1:12" x14ac:dyDescent="0.2">
      <c r="A37" s="5" t="s">
        <v>1</v>
      </c>
      <c r="B37" s="6">
        <f>100*H20/($H20+$G20+$B20)</f>
        <v>71.743582194194715</v>
      </c>
      <c r="C37" s="6">
        <f>100*B20/($H20+$G20+$B20)</f>
        <v>3.8283277489313345</v>
      </c>
      <c r="D37" s="6">
        <f>100*G20/($H20+$G20+$B20)</f>
        <v>24.428090056873948</v>
      </c>
      <c r="E37" s="5">
        <f t="shared" ref="E37:E41" si="11">SUM(B37:D37)</f>
        <v>100</v>
      </c>
      <c r="H37" s="4" t="s">
        <v>22</v>
      </c>
      <c r="I37" s="4" t="s">
        <v>23</v>
      </c>
      <c r="J37" s="4" t="s">
        <v>24</v>
      </c>
      <c r="K37" s="4" t="s">
        <v>74</v>
      </c>
    </row>
    <row r="38" spans="1:12" x14ac:dyDescent="0.2">
      <c r="A38" s="5" t="s">
        <v>10</v>
      </c>
      <c r="B38" s="6">
        <f>100*H21/($H21+$G21+$B21)</f>
        <v>60.289311699748794</v>
      </c>
      <c r="C38" s="6">
        <f>100*B21/($H21+$G21+$B21)</f>
        <v>4.683510293623887</v>
      </c>
      <c r="D38" s="6">
        <f>100*G21/($H21+$G21+$B21)</f>
        <v>35.027178006627324</v>
      </c>
      <c r="E38" s="5">
        <f t="shared" si="11"/>
        <v>100</v>
      </c>
      <c r="H38" s="4">
        <v>4.32</v>
      </c>
      <c r="I38" s="4">
        <v>3.3</v>
      </c>
      <c r="J38" s="4">
        <v>92.38</v>
      </c>
      <c r="K38">
        <f>J38/I38</f>
        <v>27.993939393939392</v>
      </c>
    </row>
    <row r="39" spans="1:12" x14ac:dyDescent="0.2">
      <c r="A39" s="5" t="s">
        <v>11</v>
      </c>
      <c r="B39" s="6">
        <f>100*H22/($H22+$G22+$B22)</f>
        <v>1.6012015049352804</v>
      </c>
      <c r="C39" s="6">
        <f>100*B22/($H22+$G22+$B22)</f>
        <v>4.026573127388413E-2</v>
      </c>
      <c r="D39" s="6">
        <f>100*G22/($H22+$G22+$B22)</f>
        <v>98.358532763790834</v>
      </c>
      <c r="E39" s="5">
        <f t="shared" si="11"/>
        <v>100</v>
      </c>
      <c r="G39" s="10" t="s">
        <v>39</v>
      </c>
      <c r="H39" s="4">
        <v>2.56</v>
      </c>
      <c r="I39" s="4">
        <v>3.36</v>
      </c>
      <c r="J39" s="4">
        <v>94.08</v>
      </c>
      <c r="K39">
        <f>J39/I39</f>
        <v>28</v>
      </c>
    </row>
    <row r="40" spans="1:12" x14ac:dyDescent="0.2">
      <c r="A40" s="5" t="s">
        <v>12</v>
      </c>
      <c r="B40" s="6">
        <f>100*H23/($H23+$G23+$B23)</f>
        <v>72.512187562564165</v>
      </c>
      <c r="C40" s="6">
        <f>100*B23/($H23+$G23+$B23)</f>
        <v>5.8741669996589557E-2</v>
      </c>
      <c r="D40" s="6">
        <f>100*G23/($H23+$G23+$B23)</f>
        <v>27.429070767439253</v>
      </c>
      <c r="E40" s="5">
        <f t="shared" si="11"/>
        <v>100.00000000000001</v>
      </c>
      <c r="H40" s="4">
        <v>3.34</v>
      </c>
      <c r="I40" s="4">
        <v>3.33</v>
      </c>
      <c r="J40" s="4">
        <v>93.32</v>
      </c>
      <c r="K40">
        <f>J40/I40</f>
        <v>28.024024024024023</v>
      </c>
    </row>
    <row r="41" spans="1:12" x14ac:dyDescent="0.2">
      <c r="A41" s="5" t="s">
        <v>13</v>
      </c>
      <c r="B41" s="6">
        <f>100*H24/($H24+$G24+$B24)</f>
        <v>8.8396253018668052</v>
      </c>
      <c r="C41" s="6">
        <f>100*B24/($H24+$G24+$B24)</f>
        <v>0.18595518243108713</v>
      </c>
      <c r="D41" s="6">
        <f>100*G24/($H24+$G24+$B24)</f>
        <v>90.97441951570211</v>
      </c>
      <c r="E41" s="5">
        <f t="shared" si="11"/>
        <v>100</v>
      </c>
    </row>
    <row r="42" spans="1:12" x14ac:dyDescent="0.2">
      <c r="H42" s="3" t="s">
        <v>40</v>
      </c>
      <c r="I42" s="3"/>
      <c r="J42" s="3"/>
      <c r="K42" s="3"/>
    </row>
    <row r="43" spans="1:12" x14ac:dyDescent="0.2">
      <c r="A43" s="26" t="s">
        <v>91</v>
      </c>
      <c r="H43" s="4" t="s">
        <v>35</v>
      </c>
      <c r="I43" s="4" t="s">
        <v>36</v>
      </c>
      <c r="J43" s="4" t="s">
        <v>37</v>
      </c>
      <c r="K43" s="4" t="s">
        <v>38</v>
      </c>
    </row>
    <row r="44" spans="1:12" x14ac:dyDescent="0.2">
      <c r="A44" s="5" t="s">
        <v>25</v>
      </c>
      <c r="B44" s="5" t="s">
        <v>8</v>
      </c>
      <c r="C44" s="5" t="s">
        <v>2</v>
      </c>
      <c r="D44" s="5" t="s">
        <v>7</v>
      </c>
      <c r="E44" s="5" t="s">
        <v>21</v>
      </c>
      <c r="G44" t="s">
        <v>86</v>
      </c>
      <c r="H44" s="4">
        <v>94000</v>
      </c>
      <c r="I44" s="4">
        <f>H44*H38/100</f>
        <v>4060.8</v>
      </c>
      <c r="J44" s="4">
        <f>H44*I39/100</f>
        <v>3158.4</v>
      </c>
      <c r="K44" s="4">
        <f>H44*J39/100</f>
        <v>88435.199999999997</v>
      </c>
      <c r="L44" t="s">
        <v>41</v>
      </c>
    </row>
    <row r="45" spans="1:12" x14ac:dyDescent="0.2">
      <c r="A45" s="5" t="s">
        <v>0</v>
      </c>
      <c r="B45" s="6">
        <f>B36*64.065</f>
        <v>555.3548132456483</v>
      </c>
      <c r="C45" s="6">
        <f>C36*44.01</f>
        <v>876.9198169750963</v>
      </c>
      <c r="D45" s="6">
        <f>D36*18.02</f>
        <v>1286.7346383955546</v>
      </c>
      <c r="E45" s="5">
        <f>SUM(B45:D45)</f>
        <v>2719.0092686162993</v>
      </c>
      <c r="G45" t="s">
        <v>87</v>
      </c>
      <c r="H45">
        <f>I45+J45+K45</f>
        <v>5042.7648943009035</v>
      </c>
      <c r="I45">
        <f>I44/64.065</f>
        <v>63.385623975649736</v>
      </c>
      <c r="J45">
        <f>J44/44.01</f>
        <v>71.76550783912748</v>
      </c>
      <c r="K45">
        <f>K44/18.02</f>
        <v>4907.6137624861267</v>
      </c>
    </row>
    <row r="46" spans="1:12" x14ac:dyDescent="0.2">
      <c r="A46" s="5" t="s">
        <v>1</v>
      </c>
      <c r="B46" s="6">
        <f t="shared" ref="B46:B50" si="12">B37*64.065</f>
        <v>4596.2525932710842</v>
      </c>
      <c r="C46" s="6">
        <f t="shared" ref="C46:C50" si="13">C37*44.01</f>
        <v>168.48470423046803</v>
      </c>
      <c r="D46" s="6">
        <f t="shared" ref="D46:D50" si="14">D37*18.02</f>
        <v>440.19418282486856</v>
      </c>
      <c r="E46" s="5">
        <f t="shared" ref="E46:E50" si="15">SUM(B46:D46)</f>
        <v>5204.9314803264206</v>
      </c>
    </row>
    <row r="47" spans="1:12" x14ac:dyDescent="0.2">
      <c r="A47" s="5" t="s">
        <v>10</v>
      </c>
      <c r="B47" s="6">
        <f t="shared" si="12"/>
        <v>3862.4347540444064</v>
      </c>
      <c r="C47" s="6">
        <f t="shared" si="13"/>
        <v>206.12128802238726</v>
      </c>
      <c r="D47" s="6">
        <f t="shared" si="14"/>
        <v>631.18974767942439</v>
      </c>
      <c r="E47" s="5">
        <f t="shared" si="15"/>
        <v>4699.7457897462182</v>
      </c>
    </row>
    <row r="48" spans="1:12" x14ac:dyDescent="0.2">
      <c r="A48" s="5" t="s">
        <v>11</v>
      </c>
      <c r="B48" s="6">
        <f t="shared" si="12"/>
        <v>102.58097441367873</v>
      </c>
      <c r="C48" s="6">
        <f t="shared" si="13"/>
        <v>1.7720948333636404</v>
      </c>
      <c r="D48" s="6">
        <f t="shared" si="14"/>
        <v>1772.4207604035107</v>
      </c>
      <c r="E48" s="5">
        <f t="shared" si="15"/>
        <v>1876.7738296505531</v>
      </c>
      <c r="H48" s="25" t="s">
        <v>81</v>
      </c>
    </row>
    <row r="49" spans="1:13" x14ac:dyDescent="0.2">
      <c r="A49" s="5" t="s">
        <v>12</v>
      </c>
      <c r="B49" s="6">
        <f t="shared" si="12"/>
        <v>4645.4932961956729</v>
      </c>
      <c r="C49" s="6">
        <f t="shared" si="13"/>
        <v>2.5852208965499064</v>
      </c>
      <c r="D49" s="6">
        <f t="shared" si="14"/>
        <v>494.27185522925532</v>
      </c>
      <c r="E49" s="5">
        <f t="shared" si="15"/>
        <v>5142.3503723214781</v>
      </c>
      <c r="H49" t="s">
        <v>83</v>
      </c>
      <c r="I49" t="s">
        <v>84</v>
      </c>
      <c r="J49" t="s">
        <v>85</v>
      </c>
      <c r="K49" t="s">
        <v>93</v>
      </c>
      <c r="L49" t="s">
        <v>94</v>
      </c>
    </row>
    <row r="50" spans="1:13" x14ac:dyDescent="0.2">
      <c r="A50" s="5" t="s">
        <v>13</v>
      </c>
      <c r="B50" s="6">
        <f t="shared" si="12"/>
        <v>566.31059496409682</v>
      </c>
      <c r="C50" s="6">
        <f t="shared" si="13"/>
        <v>8.1838875787921452</v>
      </c>
      <c r="D50" s="6">
        <f t="shared" si="14"/>
        <v>1639.3590396729519</v>
      </c>
      <c r="E50" s="5">
        <f t="shared" si="15"/>
        <v>2213.8535222158407</v>
      </c>
      <c r="G50" t="s">
        <v>75</v>
      </c>
      <c r="H50">
        <v>12</v>
      </c>
      <c r="I50">
        <f>(H50/100)*$H$44</f>
        <v>11280</v>
      </c>
      <c r="L50">
        <f>I50/K53</f>
        <v>3.9135483870967741E-3</v>
      </c>
    </row>
    <row r="51" spans="1:13" x14ac:dyDescent="0.2">
      <c r="G51" t="s">
        <v>76</v>
      </c>
      <c r="H51">
        <v>0</v>
      </c>
      <c r="I51">
        <f t="shared" ref="I51:I55" si="16">(H51/100)*$H$44</f>
        <v>0</v>
      </c>
    </row>
    <row r="52" spans="1:13" x14ac:dyDescent="0.2">
      <c r="A52" s="26" t="s">
        <v>90</v>
      </c>
      <c r="G52" t="s">
        <v>77</v>
      </c>
      <c r="H52">
        <v>0</v>
      </c>
      <c r="I52">
        <f t="shared" si="16"/>
        <v>0</v>
      </c>
      <c r="L52" t="s">
        <v>95</v>
      </c>
    </row>
    <row r="53" spans="1:13" x14ac:dyDescent="0.2">
      <c r="A53" s="5" t="s">
        <v>25</v>
      </c>
      <c r="B53" s="5" t="s">
        <v>8</v>
      </c>
      <c r="C53" s="5" t="s">
        <v>2</v>
      </c>
      <c r="D53" s="5" t="s">
        <v>7</v>
      </c>
      <c r="E53" s="5" t="s">
        <v>21</v>
      </c>
      <c r="G53" t="s">
        <v>78</v>
      </c>
      <c r="H53">
        <v>62</v>
      </c>
      <c r="I53">
        <f t="shared" si="16"/>
        <v>58280</v>
      </c>
      <c r="J53">
        <v>2.0219999999999998</v>
      </c>
      <c r="K53" s="27">
        <f>I53/(J53/100)</f>
        <v>2882294.7576656779</v>
      </c>
      <c r="L53" t="s">
        <v>92</v>
      </c>
      <c r="M53" s="1">
        <f>100*I50/(I50+K53)</f>
        <v>0.38982922318205004</v>
      </c>
    </row>
    <row r="54" spans="1:13" x14ac:dyDescent="0.2">
      <c r="A54" s="5" t="s">
        <v>0</v>
      </c>
      <c r="B54" s="6">
        <f>100*B45/$E45</f>
        <v>20.424895922781012</v>
      </c>
      <c r="C54" s="6">
        <f t="shared" ref="C54:D54" si="17">100*C45/$E45</f>
        <v>32.251446403540939</v>
      </c>
      <c r="D54" s="6">
        <f t="shared" si="17"/>
        <v>47.323657673678049</v>
      </c>
      <c r="E54" s="5">
        <f>SUM(B54:D54)</f>
        <v>100</v>
      </c>
      <c r="G54" t="s">
        <v>79</v>
      </c>
      <c r="H54">
        <v>0</v>
      </c>
      <c r="I54">
        <f t="shared" si="16"/>
        <v>0</v>
      </c>
      <c r="J54">
        <v>4.1310000000000002</v>
      </c>
      <c r="K54" s="27">
        <f>I54/(J54/100)</f>
        <v>0</v>
      </c>
    </row>
    <row r="55" spans="1:13" x14ac:dyDescent="0.2">
      <c r="A55" s="5" t="s">
        <v>1</v>
      </c>
      <c r="B55" s="6">
        <f t="shared" ref="B55:D59" si="18">100*B46/$E46</f>
        <v>88.305727186687875</v>
      </c>
      <c r="C55" s="6">
        <f t="shared" si="18"/>
        <v>3.2370205999311583</v>
      </c>
      <c r="D55" s="6">
        <f t="shared" si="18"/>
        <v>8.4572522133809596</v>
      </c>
      <c r="E55" s="5">
        <f t="shared" ref="E55:E59" si="19">SUM(B55:D55)</f>
        <v>99.999999999999986</v>
      </c>
      <c r="G55" t="s">
        <v>80</v>
      </c>
      <c r="H55">
        <v>26</v>
      </c>
      <c r="I55">
        <f t="shared" si="16"/>
        <v>24440</v>
      </c>
      <c r="J55">
        <v>4.25</v>
      </c>
      <c r="K55" s="27">
        <f>I55/(J55/100)</f>
        <v>575058.82352941169</v>
      </c>
    </row>
    <row r="56" spans="1:13" x14ac:dyDescent="0.2">
      <c r="A56" s="5" t="s">
        <v>10</v>
      </c>
      <c r="B56" s="6">
        <f t="shared" si="18"/>
        <v>82.183907956710456</v>
      </c>
      <c r="C56" s="6">
        <f t="shared" si="18"/>
        <v>4.3857965354657535</v>
      </c>
      <c r="D56" s="6">
        <f t="shared" si="18"/>
        <v>13.430295507823798</v>
      </c>
      <c r="E56" s="5">
        <f t="shared" si="19"/>
        <v>100.00000000000001</v>
      </c>
      <c r="K56" s="27"/>
    </row>
    <row r="57" spans="1:13" x14ac:dyDescent="0.2">
      <c r="A57" s="5" t="s">
        <v>11</v>
      </c>
      <c r="B57" s="6">
        <f t="shared" si="18"/>
        <v>5.4658144094421246</v>
      </c>
      <c r="C57" s="6">
        <f t="shared" si="18"/>
        <v>9.4422396847551757E-2</v>
      </c>
      <c r="D57" s="6">
        <f t="shared" si="18"/>
        <v>94.43976319371032</v>
      </c>
      <c r="E57" s="5">
        <f t="shared" si="19"/>
        <v>100</v>
      </c>
      <c r="H57" s="25" t="s">
        <v>82</v>
      </c>
      <c r="K57" s="27"/>
    </row>
    <row r="58" spans="1:13" x14ac:dyDescent="0.2">
      <c r="A58" s="5" t="s">
        <v>12</v>
      </c>
      <c r="B58" s="6">
        <f t="shared" si="18"/>
        <v>90.33793809927613</v>
      </c>
      <c r="C58" s="6">
        <f t="shared" si="18"/>
        <v>5.0273137950007603E-2</v>
      </c>
      <c r="D58" s="6">
        <f t="shared" si="18"/>
        <v>9.6117887627738554</v>
      </c>
      <c r="E58" s="5">
        <f t="shared" si="19"/>
        <v>99.999999999999986</v>
      </c>
      <c r="H58" t="s">
        <v>83</v>
      </c>
      <c r="I58" t="s">
        <v>84</v>
      </c>
      <c r="J58" t="s">
        <v>85</v>
      </c>
      <c r="K58" s="27" t="s">
        <v>93</v>
      </c>
      <c r="L58" t="s">
        <v>94</v>
      </c>
    </row>
    <row r="59" spans="1:13" x14ac:dyDescent="0.2">
      <c r="A59" s="5" t="s">
        <v>13</v>
      </c>
      <c r="B59" s="6">
        <f t="shared" si="18"/>
        <v>25.58031004676759</v>
      </c>
      <c r="C59" s="6">
        <f t="shared" si="18"/>
        <v>0.36966707583259217</v>
      </c>
      <c r="D59" s="6">
        <f t="shared" si="18"/>
        <v>74.050022877399826</v>
      </c>
      <c r="E59" s="5">
        <f t="shared" si="19"/>
        <v>100</v>
      </c>
      <c r="G59" t="s">
        <v>75</v>
      </c>
      <c r="H59">
        <v>16</v>
      </c>
      <c r="I59">
        <f>(H59/100)*$H$44</f>
        <v>15040</v>
      </c>
      <c r="K59" s="27"/>
      <c r="L59">
        <f>I59/K62</f>
        <v>3.8514285714285712E-3</v>
      </c>
    </row>
    <row r="60" spans="1:13" x14ac:dyDescent="0.2">
      <c r="G60" t="s">
        <v>76</v>
      </c>
      <c r="H60">
        <v>0</v>
      </c>
      <c r="I60">
        <f t="shared" ref="I59:I64" si="20">(H60/100)*$H$44</f>
        <v>0</v>
      </c>
      <c r="K60" s="27"/>
    </row>
    <row r="61" spans="1:13" x14ac:dyDescent="0.2">
      <c r="G61" t="s">
        <v>77</v>
      </c>
      <c r="H61">
        <v>0</v>
      </c>
      <c r="I61">
        <f t="shared" si="20"/>
        <v>0</v>
      </c>
      <c r="K61" s="27"/>
      <c r="L61" t="s">
        <v>95</v>
      </c>
    </row>
    <row r="62" spans="1:13" x14ac:dyDescent="0.2">
      <c r="G62" t="s">
        <v>78</v>
      </c>
      <c r="H62">
        <v>84</v>
      </c>
      <c r="I62">
        <f t="shared" si="20"/>
        <v>78960</v>
      </c>
      <c r="J62">
        <v>2.0219999999999998</v>
      </c>
      <c r="K62" s="27">
        <f>I62/(J62/100)</f>
        <v>3905044.5103857568</v>
      </c>
      <c r="L62" t="s">
        <v>92</v>
      </c>
      <c r="M62" s="1">
        <f>100*I59/(I59+K62)</f>
        <v>0.38366519803727356</v>
      </c>
    </row>
    <row r="63" spans="1:13" x14ac:dyDescent="0.2">
      <c r="G63" t="s">
        <v>79</v>
      </c>
      <c r="H63">
        <v>0</v>
      </c>
      <c r="I63">
        <f t="shared" si="20"/>
        <v>0</v>
      </c>
      <c r="J63">
        <v>4.1310000000000002</v>
      </c>
      <c r="K63" s="27">
        <f>I63/(J63/100)</f>
        <v>0</v>
      </c>
    </row>
    <row r="64" spans="1:13" x14ac:dyDescent="0.2">
      <c r="G64" t="s">
        <v>80</v>
      </c>
      <c r="H64">
        <v>0</v>
      </c>
      <c r="I64">
        <f t="shared" si="20"/>
        <v>0</v>
      </c>
      <c r="J64">
        <v>4.25</v>
      </c>
      <c r="K64" s="27">
        <f>I64/(J64/100)</f>
        <v>0</v>
      </c>
    </row>
    <row r="66" spans="1:5" x14ac:dyDescent="0.2">
      <c r="A66" s="5" t="s">
        <v>27</v>
      </c>
      <c r="B66" s="5" t="s">
        <v>20</v>
      </c>
      <c r="C66" s="5" t="s">
        <v>2</v>
      </c>
      <c r="D66" s="5" t="s">
        <v>7</v>
      </c>
      <c r="E66" s="5" t="s">
        <v>21</v>
      </c>
    </row>
    <row r="67" spans="1:5" x14ac:dyDescent="0.2">
      <c r="A67" s="5" t="s">
        <v>0</v>
      </c>
      <c r="B67" s="6">
        <f>100*(H19+F19)/($H19+$F19+$G19+$B19)</f>
        <v>49.969758141933561</v>
      </c>
      <c r="C67" s="6">
        <f>100*B19/($H19+$F19+$G19+$B19)</f>
        <v>10.914933002060035</v>
      </c>
      <c r="D67" s="6">
        <f>100*G19/($H19+$F19+$G19+$B19)</f>
        <v>39.115308856006408</v>
      </c>
      <c r="E67" s="5">
        <f>SUM(B67:D67)</f>
        <v>100</v>
      </c>
    </row>
    <row r="68" spans="1:5" x14ac:dyDescent="0.2">
      <c r="A68" s="5" t="s">
        <v>1</v>
      </c>
      <c r="B68" s="6">
        <f>100*(H20+F20)/($H20+$F20+$G20+$B20)</f>
        <v>73.021147467334231</v>
      </c>
      <c r="C68" s="6">
        <f>100*B20/($H20+$F20+$G20+$B20)</f>
        <v>3.6552365021977793</v>
      </c>
      <c r="D68" s="6">
        <f>100*G20/($H20+$F20+$G20+$B20)</f>
        <v>23.323616030467985</v>
      </c>
      <c r="E68" s="5">
        <f t="shared" ref="E68:E72" si="21">SUM(B68:D68)</f>
        <v>100</v>
      </c>
    </row>
    <row r="69" spans="1:5" x14ac:dyDescent="0.2">
      <c r="A69" s="5" t="s">
        <v>10</v>
      </c>
      <c r="B69" s="6">
        <f>100*(H21+F21)/($H21+$F21+$G21+$B21)</f>
        <v>60.513252776893452</v>
      </c>
      <c r="C69" s="6">
        <f>100*B21/($H21+$F21+$G21+$B21)</f>
        <v>4.657098504131798</v>
      </c>
      <c r="D69" s="6">
        <f>100*G21/($H21+$F21+$G21+$B21)</f>
        <v>34.829648718974752</v>
      </c>
      <c r="E69" s="5">
        <f t="shared" si="21"/>
        <v>100</v>
      </c>
    </row>
    <row r="70" spans="1:5" x14ac:dyDescent="0.2">
      <c r="A70" s="5" t="s">
        <v>11</v>
      </c>
      <c r="B70" s="6">
        <f>100*(H22+F22)/($H22+$F22+$G22+$B22)</f>
        <v>1.6676266142472811</v>
      </c>
      <c r="C70" s="6">
        <f>100*B22/($H22+$F22+$G22+$B22)</f>
        <v>4.023854948261938E-2</v>
      </c>
      <c r="D70" s="6">
        <f>100*G22/($H22+$F22+$G22+$B22)</f>
        <v>98.292134836270094</v>
      </c>
      <c r="E70" s="5">
        <f t="shared" si="21"/>
        <v>100</v>
      </c>
    </row>
    <row r="71" spans="1:5" x14ac:dyDescent="0.2">
      <c r="A71" s="5" t="s">
        <v>12</v>
      </c>
      <c r="B71" s="6">
        <f>100*(H23+F23)/($H23+$F23+$G23+$B23)</f>
        <v>74.091938794280807</v>
      </c>
      <c r="C71" s="6">
        <f>100*B23/($H23+$F23+$G23+$B23)</f>
        <v>5.5365729268624472E-2</v>
      </c>
      <c r="D71" s="6">
        <f>100*G23/($H23+$F23+$G23+$B23)</f>
        <v>25.852695476450577</v>
      </c>
      <c r="E71" s="5">
        <f t="shared" si="21"/>
        <v>100.00000000000001</v>
      </c>
    </row>
    <row r="72" spans="1:5" x14ac:dyDescent="0.2">
      <c r="A72" s="5" t="s">
        <v>13</v>
      </c>
      <c r="B72" s="6">
        <f>100*(H24+F24)/($H24+$F24+$G24+$B24)</f>
        <v>8.9369196397844952</v>
      </c>
      <c r="C72" s="6">
        <f>100*B24/($H24+$F24+$G24+$B24)</f>
        <v>0.18575671476992506</v>
      </c>
      <c r="D72" s="6">
        <f>100*G24/($H24+$F24+$G24+$B24)</f>
        <v>90.877323645445571</v>
      </c>
      <c r="E72" s="5">
        <f t="shared" si="21"/>
        <v>99.999999999999986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4063B-8B49-9A40-9F9A-7C8D56B52D06}">
  <dimension ref="A1:Q47"/>
  <sheetViews>
    <sheetView workbookViewId="0">
      <selection activeCell="N21" sqref="N21:P21"/>
    </sheetView>
  </sheetViews>
  <sheetFormatPr baseColWidth="10" defaultRowHeight="16" x14ac:dyDescent="0.2"/>
  <cols>
    <col min="9" max="9" width="9.1640625" customWidth="1"/>
    <col min="11" max="11" width="11.83203125" bestFit="1" customWidth="1"/>
  </cols>
  <sheetData>
    <row r="1" spans="1:16" x14ac:dyDescent="0.2">
      <c r="A1" s="11" t="s">
        <v>42</v>
      </c>
      <c r="B1" s="12"/>
    </row>
    <row r="2" spans="1:16" x14ac:dyDescent="0.2">
      <c r="A2" t="s">
        <v>43</v>
      </c>
      <c r="B2">
        <v>71.16</v>
      </c>
      <c r="E2">
        <v>0.1</v>
      </c>
      <c r="I2" s="23" t="s">
        <v>71</v>
      </c>
      <c r="J2" s="23"/>
      <c r="K2" s="23"/>
      <c r="L2" s="23"/>
    </row>
    <row r="3" spans="1:16" ht="17" thickBot="1" x14ac:dyDescent="0.25">
      <c r="A3" t="s">
        <v>44</v>
      </c>
      <c r="B3">
        <v>0.97</v>
      </c>
      <c r="E3">
        <v>900</v>
      </c>
      <c r="I3" s="24"/>
      <c r="J3" s="24"/>
      <c r="K3" s="24"/>
      <c r="L3" s="24"/>
      <c r="N3" s="19" t="s">
        <v>15</v>
      </c>
    </row>
    <row r="4" spans="1:16" x14ac:dyDescent="0.2">
      <c r="A4" t="s">
        <v>54</v>
      </c>
      <c r="B4">
        <v>13.72</v>
      </c>
      <c r="E4">
        <v>1000</v>
      </c>
      <c r="I4" s="18"/>
      <c r="J4" s="19" t="s">
        <v>68</v>
      </c>
      <c r="K4" s="19" t="s">
        <v>69</v>
      </c>
      <c r="L4" s="19" t="s">
        <v>70</v>
      </c>
      <c r="N4" s="19" t="s">
        <v>68</v>
      </c>
      <c r="O4" s="19" t="s">
        <v>69</v>
      </c>
      <c r="P4" s="19" t="s">
        <v>70</v>
      </c>
    </row>
    <row r="5" spans="1:16" x14ac:dyDescent="0.2">
      <c r="A5" t="s">
        <v>45</v>
      </c>
      <c r="B5">
        <v>4.03</v>
      </c>
      <c r="E5" t="s">
        <v>62</v>
      </c>
      <c r="I5" s="20" t="s">
        <v>66</v>
      </c>
      <c r="J5" s="18"/>
      <c r="K5" s="18"/>
      <c r="L5" s="18"/>
    </row>
    <row r="6" spans="1:16" x14ac:dyDescent="0.2">
      <c r="A6" t="s">
        <v>46</v>
      </c>
      <c r="B6">
        <v>0</v>
      </c>
      <c r="E6" t="s">
        <v>65</v>
      </c>
      <c r="I6" s="18" t="s">
        <v>43</v>
      </c>
      <c r="J6" s="19">
        <v>71.16</v>
      </c>
      <c r="K6" s="19">
        <v>75.86</v>
      </c>
      <c r="L6" s="19">
        <v>54.92</v>
      </c>
      <c r="N6" s="1">
        <v>71.254491975439549</v>
      </c>
      <c r="O6" s="1">
        <v>71.002791774443978</v>
      </c>
      <c r="P6" s="1">
        <v>51.540219099713511</v>
      </c>
    </row>
    <row r="7" spans="1:16" x14ac:dyDescent="0.2">
      <c r="A7" t="s">
        <v>47</v>
      </c>
      <c r="B7">
        <v>0.12</v>
      </c>
      <c r="I7" s="18" t="s">
        <v>44</v>
      </c>
      <c r="J7" s="19">
        <v>0.97</v>
      </c>
      <c r="K7" s="19">
        <v>0.44</v>
      </c>
      <c r="L7" s="19">
        <v>0.62</v>
      </c>
      <c r="N7" s="1">
        <v>0.73928784526275126</v>
      </c>
      <c r="O7" s="1">
        <v>0.3134590307472026</v>
      </c>
      <c r="P7" s="1">
        <v>0.44286661674567573</v>
      </c>
    </row>
    <row r="8" spans="1:16" x14ac:dyDescent="0.2">
      <c r="A8" t="s">
        <v>48</v>
      </c>
      <c r="B8">
        <v>0.9</v>
      </c>
      <c r="I8" s="18" t="s">
        <v>54</v>
      </c>
      <c r="J8" s="19">
        <v>13.72</v>
      </c>
      <c r="K8" s="19">
        <v>12.81</v>
      </c>
      <c r="L8" s="19">
        <v>14.62</v>
      </c>
      <c r="N8" s="1">
        <v>8.192268399695406</v>
      </c>
      <c r="O8" s="1">
        <v>7.1496613085271559</v>
      </c>
      <c r="P8" s="1">
        <v>8.1815738897183543</v>
      </c>
    </row>
    <row r="9" spans="1:16" x14ac:dyDescent="0.2">
      <c r="A9" t="s">
        <v>49</v>
      </c>
      <c r="B9">
        <v>3.13</v>
      </c>
      <c r="I9" s="18" t="s">
        <v>45</v>
      </c>
      <c r="J9" s="19">
        <v>4.03</v>
      </c>
      <c r="K9" s="19">
        <v>2.08</v>
      </c>
      <c r="L9" s="19">
        <v>6.86</v>
      </c>
      <c r="N9" s="1">
        <v>3.4147440861293497</v>
      </c>
      <c r="O9" s="1">
        <v>1.6474139097317648</v>
      </c>
      <c r="P9" s="1">
        <v>5.447743539881964</v>
      </c>
    </row>
    <row r="10" spans="1:16" x14ac:dyDescent="0.2">
      <c r="A10" t="s">
        <v>50</v>
      </c>
      <c r="B10">
        <v>3.37</v>
      </c>
      <c r="I10" s="18" t="s">
        <v>46</v>
      </c>
      <c r="J10" s="19">
        <v>0</v>
      </c>
      <c r="K10" s="19">
        <v>0</v>
      </c>
      <c r="L10" s="19">
        <v>0</v>
      </c>
      <c r="N10" s="1">
        <v>0</v>
      </c>
      <c r="O10" s="1">
        <v>0</v>
      </c>
      <c r="P10" s="1">
        <v>0</v>
      </c>
    </row>
    <row r="11" spans="1:16" x14ac:dyDescent="0.2">
      <c r="A11" t="s">
        <v>51</v>
      </c>
      <c r="B11">
        <v>2.06</v>
      </c>
      <c r="I11" s="18" t="s">
        <v>47</v>
      </c>
      <c r="J11" s="19">
        <v>0.12</v>
      </c>
      <c r="K11" s="19">
        <v>0.08</v>
      </c>
      <c r="L11" s="19">
        <v>0.16</v>
      </c>
      <c r="N11" s="1">
        <v>0.1036414841258558</v>
      </c>
      <c r="O11" s="1">
        <v>6.4584550680526057E-2</v>
      </c>
      <c r="P11" s="1">
        <v>0.12951252878017777</v>
      </c>
    </row>
    <row r="12" spans="1:16" x14ac:dyDescent="0.2">
      <c r="A12" t="s">
        <v>52</v>
      </c>
      <c r="B12">
        <v>0.23</v>
      </c>
      <c r="I12" s="18" t="s">
        <v>48</v>
      </c>
      <c r="J12" s="19">
        <v>0.9</v>
      </c>
      <c r="K12" s="19">
        <v>0.41</v>
      </c>
      <c r="L12" s="19">
        <v>5.89</v>
      </c>
      <c r="N12" s="1">
        <v>1.3596193950430975</v>
      </c>
      <c r="O12" s="1">
        <v>0.57895522356166718</v>
      </c>
      <c r="P12" s="1">
        <v>8.3392992750278783</v>
      </c>
    </row>
    <row r="13" spans="1:16" x14ac:dyDescent="0.2">
      <c r="A13" t="s">
        <v>7</v>
      </c>
      <c r="B13">
        <v>2</v>
      </c>
      <c r="I13" s="18" t="s">
        <v>49</v>
      </c>
      <c r="J13" s="19">
        <v>3.13</v>
      </c>
      <c r="K13" s="19">
        <v>2.09</v>
      </c>
      <c r="L13" s="19">
        <v>10.33</v>
      </c>
      <c r="N13" s="1">
        <v>3.3979440258230555</v>
      </c>
      <c r="O13" s="1">
        <v>2.1208231104923518</v>
      </c>
      <c r="P13" s="1">
        <v>10.510215665998702</v>
      </c>
    </row>
    <row r="14" spans="1:16" x14ac:dyDescent="0.2">
      <c r="A14" t="s">
        <v>2</v>
      </c>
      <c r="B14">
        <v>2E-3</v>
      </c>
      <c r="I14" s="18" t="s">
        <v>50</v>
      </c>
      <c r="J14" s="19">
        <v>3.37</v>
      </c>
      <c r="K14" s="19">
        <v>3.78</v>
      </c>
      <c r="L14" s="19">
        <v>2.04</v>
      </c>
      <c r="N14" s="1">
        <v>3.310230354956762</v>
      </c>
      <c r="O14" s="1">
        <v>3.4706146367452528</v>
      </c>
      <c r="P14" s="1">
        <v>1.8780100267806199</v>
      </c>
    </row>
    <row r="15" spans="1:16" x14ac:dyDescent="0.2">
      <c r="A15" t="s">
        <v>53</v>
      </c>
      <c r="B15">
        <v>0.02</v>
      </c>
      <c r="I15" s="18" t="s">
        <v>51</v>
      </c>
      <c r="J15" s="19">
        <v>2.06</v>
      </c>
      <c r="K15" s="19">
        <v>0.99</v>
      </c>
      <c r="L15" s="19">
        <v>0.61</v>
      </c>
      <c r="N15" s="1">
        <v>1.3313621483567806</v>
      </c>
      <c r="O15" s="1">
        <v>0.59806785133964668</v>
      </c>
      <c r="P15" s="1">
        <v>0.36948621773925056</v>
      </c>
    </row>
    <row r="16" spans="1:16" x14ac:dyDescent="0.2">
      <c r="I16" s="18" t="s">
        <v>52</v>
      </c>
      <c r="J16" s="19">
        <v>0.23</v>
      </c>
      <c r="K16" s="19">
        <v>0.14000000000000001</v>
      </c>
      <c r="L16" s="19">
        <v>0.15</v>
      </c>
      <c r="N16" s="1">
        <v>9.8651325072052903E-2</v>
      </c>
      <c r="O16" s="1">
        <v>5.6129270893144935E-2</v>
      </c>
      <c r="P16" s="1">
        <v>6.0298397344705927E-2</v>
      </c>
    </row>
    <row r="17" spans="1:17" x14ac:dyDescent="0.2">
      <c r="A17" s="13" t="s">
        <v>55</v>
      </c>
      <c r="B17" s="14"/>
      <c r="D17" t="s">
        <v>57</v>
      </c>
      <c r="I17" s="18" t="s">
        <v>7</v>
      </c>
      <c r="J17" s="19">
        <v>2</v>
      </c>
      <c r="K17" s="19">
        <v>4.0999999999999996</v>
      </c>
      <c r="L17" s="19">
        <v>4</v>
      </c>
      <c r="N17" s="1">
        <v>6.7570183278131486</v>
      </c>
      <c r="O17" s="1">
        <v>12.947777752239285</v>
      </c>
      <c r="P17" s="1">
        <v>12.665563476296796</v>
      </c>
    </row>
    <row r="18" spans="1:17" x14ac:dyDescent="0.2">
      <c r="A18" t="s">
        <v>43</v>
      </c>
      <c r="B18">
        <v>75.86</v>
      </c>
      <c r="D18" t="s">
        <v>58</v>
      </c>
      <c r="E18">
        <v>0.1</v>
      </c>
      <c r="I18" s="18" t="s">
        <v>2</v>
      </c>
      <c r="J18" s="19">
        <v>2E-3</v>
      </c>
      <c r="K18" s="19">
        <v>1.0999999999999999E-2</v>
      </c>
      <c r="L18" s="19">
        <v>0.02</v>
      </c>
      <c r="N18" s="1">
        <v>2.7673061424362032E-3</v>
      </c>
      <c r="O18" s="1">
        <v>1.4226765554594629E-2</v>
      </c>
      <c r="P18" s="1">
        <v>2.5935619754871391E-2</v>
      </c>
    </row>
    <row r="19" spans="1:17" x14ac:dyDescent="0.2">
      <c r="A19" t="s">
        <v>44</v>
      </c>
      <c r="B19">
        <v>0.44</v>
      </c>
      <c r="D19" t="s">
        <v>59</v>
      </c>
      <c r="E19">
        <v>970</v>
      </c>
      <c r="I19" s="18" t="s">
        <v>53</v>
      </c>
      <c r="J19" s="19">
        <v>0.02</v>
      </c>
      <c r="K19" s="19">
        <v>0.02</v>
      </c>
      <c r="L19" s="19">
        <v>0.23</v>
      </c>
      <c r="N19" s="1">
        <v>3.7973326139776373E-2</v>
      </c>
      <c r="O19" s="1">
        <v>3.5494815043429606E-2</v>
      </c>
      <c r="P19" s="1">
        <v>0.40927564621752455</v>
      </c>
    </row>
    <row r="20" spans="1:17" x14ac:dyDescent="0.2">
      <c r="A20" t="s">
        <v>54</v>
      </c>
      <c r="B20">
        <v>12.81</v>
      </c>
      <c r="D20" t="s">
        <v>60</v>
      </c>
      <c r="E20">
        <v>3000</v>
      </c>
      <c r="I20" s="18"/>
      <c r="J20" s="19"/>
      <c r="K20" s="19"/>
      <c r="L20" s="19"/>
    </row>
    <row r="21" spans="1:17" x14ac:dyDescent="0.2">
      <c r="A21" t="s">
        <v>45</v>
      </c>
      <c r="B21">
        <v>2.08</v>
      </c>
      <c r="D21" t="s">
        <v>61</v>
      </c>
      <c r="E21" t="s">
        <v>62</v>
      </c>
      <c r="I21" s="20" t="s">
        <v>67</v>
      </c>
      <c r="J21" s="19"/>
      <c r="K21" s="19"/>
      <c r="L21" s="19"/>
      <c r="N21" s="1">
        <f>N17+N18+N19</f>
        <v>6.7977589600953614</v>
      </c>
      <c r="O21" s="1">
        <f t="shared" ref="O21:P21" si="0">O17+O18+O19</f>
        <v>12.997499332837309</v>
      </c>
      <c r="P21" s="1">
        <f t="shared" si="0"/>
        <v>13.100774742269193</v>
      </c>
      <c r="Q21" t="s">
        <v>88</v>
      </c>
    </row>
    <row r="22" spans="1:17" x14ac:dyDescent="0.2">
      <c r="A22" t="s">
        <v>46</v>
      </c>
      <c r="B22">
        <v>0</v>
      </c>
      <c r="D22" t="s">
        <v>64</v>
      </c>
      <c r="E22" t="s">
        <v>65</v>
      </c>
      <c r="I22" s="18" t="s">
        <v>58</v>
      </c>
      <c r="J22" s="19">
        <v>0.1</v>
      </c>
      <c r="K22" s="19">
        <v>0.1</v>
      </c>
      <c r="L22" s="19">
        <v>0.1</v>
      </c>
    </row>
    <row r="23" spans="1:17" x14ac:dyDescent="0.2">
      <c r="A23" t="s">
        <v>47</v>
      </c>
      <c r="B23">
        <v>0.08</v>
      </c>
      <c r="I23" s="18" t="s">
        <v>72</v>
      </c>
      <c r="J23" s="19">
        <v>900</v>
      </c>
      <c r="K23" s="19">
        <v>970</v>
      </c>
      <c r="L23" s="19">
        <v>970</v>
      </c>
    </row>
    <row r="24" spans="1:17" x14ac:dyDescent="0.2">
      <c r="A24" t="s">
        <v>48</v>
      </c>
      <c r="B24">
        <v>0.41</v>
      </c>
      <c r="I24" s="18" t="s">
        <v>73</v>
      </c>
      <c r="J24" s="19">
        <v>1000</v>
      </c>
      <c r="K24" s="19">
        <v>3000</v>
      </c>
      <c r="L24" s="19">
        <v>3000</v>
      </c>
    </row>
    <row r="25" spans="1:17" x14ac:dyDescent="0.2">
      <c r="A25" t="s">
        <v>49</v>
      </c>
      <c r="B25">
        <v>2.09</v>
      </c>
      <c r="I25" s="18" t="s">
        <v>61</v>
      </c>
      <c r="J25" s="19" t="s">
        <v>62</v>
      </c>
      <c r="K25" s="19" t="s">
        <v>62</v>
      </c>
      <c r="L25" s="19" t="s">
        <v>63</v>
      </c>
    </row>
    <row r="26" spans="1:17" ht="17" thickBot="1" x14ac:dyDescent="0.25">
      <c r="A26" t="s">
        <v>50</v>
      </c>
      <c r="B26">
        <v>3.78</v>
      </c>
      <c r="I26" s="21" t="s">
        <v>64</v>
      </c>
      <c r="J26" s="22" t="s">
        <v>65</v>
      </c>
      <c r="K26" s="22" t="s">
        <v>65</v>
      </c>
      <c r="L26" s="22" t="s">
        <v>65</v>
      </c>
    </row>
    <row r="27" spans="1:17" x14ac:dyDescent="0.2">
      <c r="A27" t="s">
        <v>51</v>
      </c>
      <c r="B27">
        <v>0.99</v>
      </c>
    </row>
    <row r="28" spans="1:17" x14ac:dyDescent="0.2">
      <c r="A28" t="s">
        <v>52</v>
      </c>
      <c r="B28">
        <v>0.14000000000000001</v>
      </c>
    </row>
    <row r="29" spans="1:17" x14ac:dyDescent="0.2">
      <c r="A29" t="s">
        <v>7</v>
      </c>
      <c r="B29">
        <v>4.0999999999999996</v>
      </c>
    </row>
    <row r="30" spans="1:17" x14ac:dyDescent="0.2">
      <c r="A30" t="s">
        <v>2</v>
      </c>
      <c r="B30">
        <v>1.0999999999999999E-2</v>
      </c>
    </row>
    <row r="31" spans="1:17" x14ac:dyDescent="0.2">
      <c r="A31" t="s">
        <v>53</v>
      </c>
      <c r="B31">
        <v>0.02</v>
      </c>
    </row>
    <row r="33" spans="1:5" x14ac:dyDescent="0.2">
      <c r="A33" s="15" t="s">
        <v>56</v>
      </c>
      <c r="B33" s="16"/>
      <c r="D33" s="17" t="s">
        <v>57</v>
      </c>
    </row>
    <row r="34" spans="1:5" x14ac:dyDescent="0.2">
      <c r="A34" t="s">
        <v>43</v>
      </c>
      <c r="B34">
        <v>54.92</v>
      </c>
      <c r="D34" s="17" t="s">
        <v>58</v>
      </c>
      <c r="E34">
        <v>0.1</v>
      </c>
    </row>
    <row r="35" spans="1:5" x14ac:dyDescent="0.2">
      <c r="A35" t="s">
        <v>44</v>
      </c>
      <c r="B35">
        <v>0.62</v>
      </c>
      <c r="D35" s="17" t="s">
        <v>59</v>
      </c>
      <c r="E35">
        <v>970</v>
      </c>
    </row>
    <row r="36" spans="1:5" x14ac:dyDescent="0.2">
      <c r="A36" t="s">
        <v>54</v>
      </c>
      <c r="B36">
        <v>14.62</v>
      </c>
      <c r="D36" s="17" t="s">
        <v>60</v>
      </c>
      <c r="E36">
        <v>3000</v>
      </c>
    </row>
    <row r="37" spans="1:5" x14ac:dyDescent="0.2">
      <c r="A37" t="s">
        <v>45</v>
      </c>
      <c r="B37">
        <v>6.86</v>
      </c>
      <c r="D37" s="17" t="s">
        <v>61</v>
      </c>
      <c r="E37" t="s">
        <v>63</v>
      </c>
    </row>
    <row r="38" spans="1:5" x14ac:dyDescent="0.2">
      <c r="A38" t="s">
        <v>46</v>
      </c>
      <c r="B38">
        <v>0</v>
      </c>
      <c r="D38" t="s">
        <v>64</v>
      </c>
      <c r="E38" t="s">
        <v>65</v>
      </c>
    </row>
    <row r="39" spans="1:5" x14ac:dyDescent="0.2">
      <c r="A39" t="s">
        <v>47</v>
      </c>
      <c r="B39">
        <v>0.16</v>
      </c>
    </row>
    <row r="40" spans="1:5" x14ac:dyDescent="0.2">
      <c r="A40" t="s">
        <v>48</v>
      </c>
      <c r="B40">
        <v>5.89</v>
      </c>
    </row>
    <row r="41" spans="1:5" x14ac:dyDescent="0.2">
      <c r="A41" t="s">
        <v>49</v>
      </c>
      <c r="B41">
        <v>10.33</v>
      </c>
    </row>
    <row r="42" spans="1:5" x14ac:dyDescent="0.2">
      <c r="A42" t="s">
        <v>50</v>
      </c>
      <c r="B42">
        <v>2.04</v>
      </c>
    </row>
    <row r="43" spans="1:5" x14ac:dyDescent="0.2">
      <c r="A43" t="s">
        <v>51</v>
      </c>
      <c r="B43">
        <v>0.61</v>
      </c>
    </row>
    <row r="44" spans="1:5" x14ac:dyDescent="0.2">
      <c r="A44" t="s">
        <v>52</v>
      </c>
      <c r="B44">
        <v>0.15</v>
      </c>
    </row>
    <row r="45" spans="1:5" x14ac:dyDescent="0.2">
      <c r="A45" t="s">
        <v>7</v>
      </c>
      <c r="B45">
        <v>4</v>
      </c>
    </row>
    <row r="46" spans="1:5" x14ac:dyDescent="0.2">
      <c r="A46" t="s">
        <v>2</v>
      </c>
      <c r="B46">
        <v>0.02</v>
      </c>
    </row>
    <row r="47" spans="1:5" x14ac:dyDescent="0.2">
      <c r="A47" t="s">
        <v>53</v>
      </c>
      <c r="B47">
        <v>0.23</v>
      </c>
    </row>
  </sheetData>
  <mergeCells count="1">
    <mergeCell ref="I2:L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16D2E-BA96-514F-96F5-4C500664824E}">
  <dimension ref="A1:I13"/>
  <sheetViews>
    <sheetView workbookViewId="0">
      <selection activeCell="H20" sqref="H20"/>
    </sheetView>
  </sheetViews>
  <sheetFormatPr baseColWidth="10" defaultRowHeight="16" x14ac:dyDescent="0.2"/>
  <sheetData>
    <row r="1" spans="1:9" x14ac:dyDescent="0.2">
      <c r="A1" t="s">
        <v>27</v>
      </c>
      <c r="B1" t="s">
        <v>0</v>
      </c>
      <c r="C1" t="s">
        <v>1</v>
      </c>
      <c r="D1" t="s">
        <v>10</v>
      </c>
      <c r="E1" t="s">
        <v>11</v>
      </c>
      <c r="F1" t="s">
        <v>12</v>
      </c>
      <c r="G1" t="s">
        <v>13</v>
      </c>
      <c r="I1" t="s">
        <v>28</v>
      </c>
    </row>
    <row r="2" spans="1:9" x14ac:dyDescent="0.2">
      <c r="A2" t="s">
        <v>20</v>
      </c>
      <c r="B2" s="1">
        <v>49.969758141933561</v>
      </c>
      <c r="C2" s="1">
        <v>73.021147467334231</v>
      </c>
      <c r="D2" s="1">
        <v>60.513252776893452</v>
      </c>
      <c r="E2" s="1">
        <v>1.6676266142472811</v>
      </c>
      <c r="F2" s="1">
        <v>74.091938794280807</v>
      </c>
      <c r="G2" s="1">
        <v>8.9369196397844952</v>
      </c>
      <c r="I2">
        <v>4.32</v>
      </c>
    </row>
    <row r="3" spans="1:9" x14ac:dyDescent="0.2">
      <c r="A3" t="s">
        <v>2</v>
      </c>
      <c r="B3" s="1">
        <v>10.914933002060035</v>
      </c>
      <c r="C3" s="1">
        <v>3.6552365021977793</v>
      </c>
      <c r="D3" s="1">
        <v>4.657098504131798</v>
      </c>
      <c r="E3" s="1">
        <v>4.023854948261938E-2</v>
      </c>
      <c r="F3" s="1">
        <v>5.5365729268624472E-2</v>
      </c>
      <c r="G3" s="1">
        <v>0.18575671476992506</v>
      </c>
      <c r="I3">
        <v>3.3</v>
      </c>
    </row>
    <row r="4" spans="1:9" x14ac:dyDescent="0.2">
      <c r="A4" t="s">
        <v>7</v>
      </c>
      <c r="B4" s="1">
        <v>39.115308856006408</v>
      </c>
      <c r="C4" s="1">
        <v>23.323616030467985</v>
      </c>
      <c r="D4" s="1">
        <v>34.829648718974752</v>
      </c>
      <c r="E4" s="1">
        <v>98.292134836270094</v>
      </c>
      <c r="F4" s="1">
        <v>25.852695476450577</v>
      </c>
      <c r="G4" s="1">
        <v>90.877323645445571</v>
      </c>
      <c r="I4">
        <v>92.38</v>
      </c>
    </row>
    <row r="9" spans="1:9" x14ac:dyDescent="0.2">
      <c r="A9" t="s">
        <v>25</v>
      </c>
    </row>
    <row r="10" spans="1:9" x14ac:dyDescent="0.2">
      <c r="B10" t="s">
        <v>29</v>
      </c>
      <c r="C10" t="s">
        <v>30</v>
      </c>
      <c r="D10" t="s">
        <v>31</v>
      </c>
      <c r="E10" t="s">
        <v>32</v>
      </c>
      <c r="F10" t="s">
        <v>33</v>
      </c>
      <c r="G10" t="s">
        <v>34</v>
      </c>
      <c r="I10" t="s">
        <v>28</v>
      </c>
    </row>
    <row r="11" spans="1:9" x14ac:dyDescent="0.2">
      <c r="A11" t="s">
        <v>8</v>
      </c>
      <c r="B11">
        <v>8.6686148949605606</v>
      </c>
      <c r="C11">
        <v>71.743582194194715</v>
      </c>
      <c r="D11">
        <v>60.289311699748794</v>
      </c>
      <c r="E11">
        <v>1.6012015049352804</v>
      </c>
      <c r="F11">
        <v>72.512187562564165</v>
      </c>
      <c r="G11">
        <v>8.8396253018668052</v>
      </c>
      <c r="I11">
        <v>3.34</v>
      </c>
    </row>
    <row r="12" spans="1:9" x14ac:dyDescent="0.2">
      <c r="A12" t="s">
        <v>2</v>
      </c>
      <c r="B12">
        <v>19.925467325041954</v>
      </c>
      <c r="C12">
        <v>3.8283277489313345</v>
      </c>
      <c r="D12">
        <v>4.683510293623887</v>
      </c>
      <c r="E12">
        <v>4.026573127388413E-2</v>
      </c>
      <c r="F12">
        <v>5.8741669996589557E-2</v>
      </c>
      <c r="G12">
        <v>0.18595518243108713</v>
      </c>
      <c r="I12">
        <v>3.33</v>
      </c>
    </row>
    <row r="13" spans="1:9" x14ac:dyDescent="0.2">
      <c r="A13" t="s">
        <v>7</v>
      </c>
      <c r="B13">
        <v>71.40591777999748</v>
      </c>
      <c r="C13">
        <v>24.428090056873948</v>
      </c>
      <c r="D13">
        <v>35.027178006627324</v>
      </c>
      <c r="E13">
        <v>98.358532763790834</v>
      </c>
      <c r="F13">
        <v>27.429070767439253</v>
      </c>
      <c r="G13">
        <v>90.97441951570211</v>
      </c>
      <c r="I13">
        <v>93.32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Gas Comps</vt:lpstr>
      <vt:lpstr>Starting Comps</vt:lpstr>
      <vt:lpstr>Linear Regression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Kayla Iacovino</dc:creator>
  <cp:lastModifiedBy>Kayla Iacovino</cp:lastModifiedBy>
  <dcterms:created xsi:type="dcterms:W3CDTF">2020-01-18T23:03:48Z</dcterms:created>
  <dcterms:modified xsi:type="dcterms:W3CDTF">2020-02-19T22:00:32Z</dcterms:modified>
</cp:coreProperties>
</file>