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Python/TAVERN/tests/"/>
    </mc:Choice>
  </mc:AlternateContent>
  <xr:revisionPtr revIDLastSave="0" documentId="13_ncr:1_{10FF051E-51B9-1A42-9FDE-BBB971CFBE52}" xr6:coauthVersionLast="47" xr6:coauthVersionMax="47" xr10:uidLastSave="{00000000-0000-0000-0000-000000000000}"/>
  <bookViews>
    <workbookView xWindow="10740" yWindow="29480" windowWidth="33600" windowHeight="21720" activeTab="3" xr2:uid="{625D6B45-C922-FA47-8BB4-172CE4823A05}"/>
  </bookViews>
  <sheets>
    <sheet name="Sheet1" sheetId="1" r:id="rId1"/>
    <sheet name="logKs" sheetId="2" r:id="rId2"/>
    <sheet name="gammas" sheetId="4" r:id="rId3"/>
    <sheet name="fugacitie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C6" i="3"/>
  <c r="E6" i="3" s="1"/>
  <c r="E8" i="3"/>
  <c r="C9" i="3"/>
  <c r="C8" i="3"/>
  <c r="E7" i="3"/>
  <c r="C7" i="3"/>
  <c r="E5" i="3"/>
  <c r="E4" i="3"/>
  <c r="E3" i="3"/>
  <c r="E2" i="3"/>
  <c r="G16" i="3"/>
  <c r="H2" i="3"/>
  <c r="H1" i="3"/>
  <c r="E5" i="1"/>
  <c r="E4" i="1"/>
  <c r="E3" i="1"/>
  <c r="D5" i="1"/>
  <c r="D4" i="1"/>
  <c r="D3" i="1"/>
  <c r="C2" i="3"/>
  <c r="G5" i="2" l="1"/>
  <c r="F5" i="2"/>
  <c r="E5" i="2"/>
  <c r="G4" i="2"/>
  <c r="F4" i="2"/>
  <c r="E4" i="2"/>
  <c r="F3" i="2"/>
  <c r="G3" i="2" s="1"/>
  <c r="E3" i="2"/>
  <c r="F2" i="2"/>
  <c r="G2" i="2" s="1"/>
  <c r="E2" i="2"/>
</calcChain>
</file>

<file path=xl/sharedStrings.xml><?xml version="1.0" encoding="utf-8"?>
<sst xmlns="http://schemas.openxmlformats.org/spreadsheetml/2006/main" count="75" uniqueCount="66">
  <si>
    <t>H2O</t>
  </si>
  <si>
    <t>CO2</t>
  </si>
  <si>
    <t>S</t>
  </si>
  <si>
    <t>Composition in wt%</t>
  </si>
  <si>
    <t>Conditions</t>
  </si>
  <si>
    <t>Temp ©</t>
  </si>
  <si>
    <t>Pressure (bars)</t>
  </si>
  <si>
    <t>fO2 buffer</t>
  </si>
  <si>
    <t>QFM</t>
  </si>
  <si>
    <t>fO2 delta</t>
  </si>
  <si>
    <t>Species names</t>
  </si>
  <si>
    <t>CO', 'CO2', 'H2', 'H2O', 'H2S', 'O2', 'S2', 'SO2'</t>
  </si>
  <si>
    <t>H2</t>
  </si>
  <si>
    <t>H2S</t>
  </si>
  <si>
    <t>CO</t>
  </si>
  <si>
    <t>O2</t>
  </si>
  <si>
    <t>S2</t>
  </si>
  <si>
    <t>SO2</t>
  </si>
  <si>
    <t>Calculated with poly fits</t>
  </si>
  <si>
    <t>Reaction</t>
  </si>
  <si>
    <t>CO + 1/2O2 = CO2</t>
  </si>
  <si>
    <t>Reference</t>
  </si>
  <si>
    <t>Wagman et al 1945</t>
  </si>
  <si>
    <t>Ref value at 1200 K</t>
  </si>
  <si>
    <t>(1200 K)</t>
  </si>
  <si>
    <t>H2 + 1/2O2 = H2O</t>
  </si>
  <si>
    <t>H2 + 1/2S2 = H2S</t>
  </si>
  <si>
    <t>1/2S2 + O2 = SO2</t>
  </si>
  <si>
    <t>Robie and Hemmingway 1995</t>
  </si>
  <si>
    <t>Difference</t>
  </si>
  <si>
    <t>% difference</t>
  </si>
  <si>
    <t>fH2</t>
  </si>
  <si>
    <t>fS2</t>
  </si>
  <si>
    <t>Calculate using</t>
  </si>
  <si>
    <t>(A/(R*P)) + ((2*J*A*sqrt(F))/(3*S*P)) + ((2*K*A*sqrt(G))/(3*T*P)) - C</t>
  </si>
  <si>
    <t>(G/(U*P)) + ((K*A*sqrt(G))/(3*T*P)) + ((L*F*sqrt(G))/(3*V*P)) - D</t>
  </si>
  <si>
    <t>fO2</t>
  </si>
  <si>
    <t>considered known (at logfO2 = -11.101768)</t>
  </si>
  <si>
    <t>fug coeff</t>
  </si>
  <si>
    <t>molfrac</t>
  </si>
  <si>
    <t>MW</t>
  </si>
  <si>
    <t>MPO</t>
  </si>
  <si>
    <t>myfluid wt%</t>
  </si>
  <si>
    <t>Htot</t>
  </si>
  <si>
    <t>Stot</t>
  </si>
  <si>
    <t>(A/(1.199515861*1000)) + ((2*69365913.57*A*sqrt(7.91101E-12))/(3*0.869084874*1000)) + ((2*24.63018847*A*sqrt(G))/(3*1.119898059*1000)) - 1.336820479</t>
  </si>
  <si>
    <t>(G/(1.16052803*1000)) + ((24.63018847*A*sqrt(G))/(3*1.119898059*1000)) + ((8.05799E+11*7.91101E-12*sqrt(G))/(3*1.124025331*1000)) - 0.127840435</t>
  </si>
  <si>
    <t>simplified</t>
  </si>
  <si>
    <t>with values</t>
  </si>
  <si>
    <t>simple notation</t>
  </si>
  <si>
    <t>0.1504966A + 0.01466216*A*sqrt(G) - 1.336820479</t>
  </si>
  <si>
    <t>0.000861677G + (0.00733108*A*sqrt(G)) + (0.001890433*sqrt(G)) - 0.127840435</t>
  </si>
  <si>
    <t>wolfram alpha</t>
  </si>
  <si>
    <t>Manual calc</t>
  </si>
  <si>
    <t>fCO</t>
  </si>
  <si>
    <t>Equation 10 in Iacovino 2015 (wolfram alpha)</t>
  </si>
  <si>
    <t>TAVERN calc</t>
  </si>
  <si>
    <t>difference</t>
  </si>
  <si>
    <t>fCO2</t>
  </si>
  <si>
    <t>fSO2</t>
  </si>
  <si>
    <t>fH2S</t>
  </si>
  <si>
    <t>fH2O</t>
  </si>
  <si>
    <t>KSO2 * sqrt(fS2) * fO2</t>
  </si>
  <si>
    <t>KH2S * fH2 * sqrt(fS2)</t>
  </si>
  <si>
    <t>KH2O * sqrt(fO2) * fH2</t>
  </si>
  <si>
    <t>KCO2 * fCO * sqrt(fO2)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</si>
</sst>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ndale Mono"/>
      <family val="2"/>
    </font>
    <font>
      <sz val="14"/>
      <color rgb="FF1C1B1F"/>
      <name val="Arial"/>
      <family val="2"/>
    </font>
    <font>
      <sz val="12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0" borderId="0" xfId="0" applyFont="1"/>
    <xf numFmtId="11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DA2B-52C9-B440-A17A-36E5A8823C22}">
  <dimension ref="A1:E14"/>
  <sheetViews>
    <sheetView workbookViewId="0">
      <selection activeCell="E4" sqref="E4"/>
    </sheetView>
  </sheetViews>
  <sheetFormatPr baseColWidth="10" defaultRowHeight="16" x14ac:dyDescent="0.2"/>
  <cols>
    <col min="1" max="1" width="17.6640625" bestFit="1" customWidth="1"/>
    <col min="2" max="2" width="11.5" bestFit="1" customWidth="1"/>
  </cols>
  <sheetData>
    <row r="1" spans="1:5" x14ac:dyDescent="0.2">
      <c r="A1" s="1" t="s">
        <v>3</v>
      </c>
    </row>
    <row r="2" spans="1:5" x14ac:dyDescent="0.2">
      <c r="B2" t="s">
        <v>42</v>
      </c>
      <c r="C2" t="s">
        <v>40</v>
      </c>
      <c r="D2" t="s">
        <v>41</v>
      </c>
      <c r="E2" t="s">
        <v>39</v>
      </c>
    </row>
    <row r="3" spans="1:5" x14ac:dyDescent="0.2">
      <c r="A3" t="s">
        <v>0</v>
      </c>
      <c r="B3">
        <v>47</v>
      </c>
      <c r="C3">
        <v>18.015000000000001</v>
      </c>
      <c r="D3">
        <f>B3/C3</f>
        <v>2.6089369969469884</v>
      </c>
      <c r="E3">
        <f>D3/SUM(D$3:D$5)</f>
        <v>0.6684102395465743</v>
      </c>
    </row>
    <row r="4" spans="1:5" x14ac:dyDescent="0.2">
      <c r="A4" t="s">
        <v>1</v>
      </c>
      <c r="B4">
        <v>35</v>
      </c>
      <c r="C4">
        <v>44.01</v>
      </c>
      <c r="D4">
        <f>B4/C4</f>
        <v>0.7952738014087708</v>
      </c>
      <c r="E4">
        <f>D4/SUM(D$3:D$5)</f>
        <v>0.20374932500355519</v>
      </c>
    </row>
    <row r="5" spans="1:5" x14ac:dyDescent="0.2">
      <c r="A5" t="s">
        <v>2</v>
      </c>
      <c r="B5">
        <v>16</v>
      </c>
      <c r="C5">
        <v>32.064999999999998</v>
      </c>
      <c r="D5">
        <f>B5/C5</f>
        <v>0.49898643380633095</v>
      </c>
      <c r="E5">
        <f>D5/SUM(D$3:D$5)</f>
        <v>0.12784043544987053</v>
      </c>
    </row>
    <row r="7" spans="1:5" x14ac:dyDescent="0.2">
      <c r="A7" s="1" t="s">
        <v>4</v>
      </c>
    </row>
    <row r="8" spans="1:5" x14ac:dyDescent="0.2">
      <c r="A8" t="s">
        <v>5</v>
      </c>
      <c r="B8">
        <v>926</v>
      </c>
      <c r="C8" t="s">
        <v>24</v>
      </c>
    </row>
    <row r="9" spans="1:5" x14ac:dyDescent="0.2">
      <c r="A9" t="s">
        <v>6</v>
      </c>
      <c r="B9">
        <v>1000</v>
      </c>
    </row>
    <row r="10" spans="1:5" x14ac:dyDescent="0.2">
      <c r="A10" t="s">
        <v>7</v>
      </c>
      <c r="B10" t="s">
        <v>8</v>
      </c>
    </row>
    <row r="11" spans="1:5" x14ac:dyDescent="0.2">
      <c r="A11" t="s">
        <v>9</v>
      </c>
      <c r="B11">
        <v>1</v>
      </c>
    </row>
    <row r="13" spans="1:5" x14ac:dyDescent="0.2">
      <c r="A13" s="1" t="s">
        <v>10</v>
      </c>
    </row>
    <row r="14" spans="1:5" x14ac:dyDescent="0.2">
      <c r="A14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72EA-2872-7B43-90E9-722AC9B628EA}">
  <dimension ref="A1:G5"/>
  <sheetViews>
    <sheetView zoomScaleNormal="100" workbookViewId="0">
      <selection activeCell="C2" sqref="C2"/>
    </sheetView>
  </sheetViews>
  <sheetFormatPr baseColWidth="10" defaultRowHeight="16" x14ac:dyDescent="0.2"/>
  <cols>
    <col min="2" max="3" width="21.1640625" bestFit="1" customWidth="1"/>
    <col min="4" max="4" width="26" bestFit="1" customWidth="1"/>
    <col min="5" max="6" width="17.1640625" bestFit="1" customWidth="1"/>
    <col min="7" max="7" width="12.6640625" bestFit="1" customWidth="1"/>
  </cols>
  <sheetData>
    <row r="1" spans="1:7" x14ac:dyDescent="0.2">
      <c r="B1" s="1" t="s">
        <v>19</v>
      </c>
      <c r="C1" s="1" t="s">
        <v>18</v>
      </c>
      <c r="D1" s="1" t="s">
        <v>21</v>
      </c>
      <c r="E1" s="1" t="s">
        <v>23</v>
      </c>
      <c r="F1" s="1" t="s">
        <v>29</v>
      </c>
      <c r="G1" s="1" t="s">
        <v>30</v>
      </c>
    </row>
    <row r="2" spans="1:7" ht="18" x14ac:dyDescent="0.2">
      <c r="A2" s="1" t="s">
        <v>1</v>
      </c>
      <c r="B2" t="s">
        <v>20</v>
      </c>
      <c r="C2" s="3">
        <v>59421914.007974997</v>
      </c>
      <c r="D2" t="s">
        <v>22</v>
      </c>
      <c r="E2">
        <f>5.519*10^7</f>
        <v>55190000</v>
      </c>
      <c r="F2">
        <f>C2-E2</f>
        <v>4231914.0079749972</v>
      </c>
      <c r="G2">
        <f>100*(F2/E2)</f>
        <v>7.667899996330851</v>
      </c>
    </row>
    <row r="3" spans="1:7" ht="18" x14ac:dyDescent="0.2">
      <c r="A3" s="1" t="s">
        <v>0</v>
      </c>
      <c r="B3" t="s">
        <v>25</v>
      </c>
      <c r="C3" s="3">
        <v>69365913.573462799</v>
      </c>
      <c r="D3" t="s">
        <v>28</v>
      </c>
      <c r="E3">
        <f>10^7.9</f>
        <v>79432823.472428367</v>
      </c>
      <c r="F3">
        <f>C3-E3</f>
        <v>-10066909.898965567</v>
      </c>
      <c r="G3">
        <f>100*(F3/E3)</f>
        <v>-12.67348869004997</v>
      </c>
    </row>
    <row r="4" spans="1:7" ht="18" x14ac:dyDescent="0.2">
      <c r="A4" s="1" t="s">
        <v>13</v>
      </c>
      <c r="B4" t="s">
        <v>26</v>
      </c>
      <c r="C4" s="3">
        <v>24.630188469975199</v>
      </c>
      <c r="D4" t="s">
        <v>28</v>
      </c>
      <c r="E4">
        <f>10^1.36</f>
        <v>22.908676527677738</v>
      </c>
      <c r="F4">
        <f>C4-E4</f>
        <v>1.721511942297461</v>
      </c>
      <c r="G4">
        <f>100*(F4/E4)</f>
        <v>7.5146721820336051</v>
      </c>
    </row>
    <row r="5" spans="1:7" ht="18" x14ac:dyDescent="0.2">
      <c r="A5" s="1" t="s">
        <v>17</v>
      </c>
      <c r="B5" t="s">
        <v>27</v>
      </c>
      <c r="C5" s="3">
        <v>805799481486.51501</v>
      </c>
      <c r="D5" t="s">
        <v>28</v>
      </c>
      <c r="E5">
        <f>10^11.93</f>
        <v>851138038202.37927</v>
      </c>
      <c r="F5">
        <f>C5-E5</f>
        <v>-45338556715.864258</v>
      </c>
      <c r="G5">
        <f>100*(F5/E5)</f>
        <v>-5.3268159429955926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EECE-FC8C-A146-A63C-2D90F1EBA4CB}">
  <dimension ref="A1:B9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B1" s="1" t="s">
        <v>38</v>
      </c>
    </row>
    <row r="2" spans="1:2" ht="18" x14ac:dyDescent="0.2">
      <c r="A2" s="1" t="s">
        <v>14</v>
      </c>
      <c r="B2" s="4">
        <v>1.2702307224970899</v>
      </c>
    </row>
    <row r="3" spans="1:2" ht="18" x14ac:dyDescent="0.2">
      <c r="A3" s="1" t="s">
        <v>1</v>
      </c>
      <c r="B3" s="4">
        <v>1.17702986434571</v>
      </c>
    </row>
    <row r="4" spans="1:2" ht="18" x14ac:dyDescent="0.2">
      <c r="A4" s="1" t="s">
        <v>12</v>
      </c>
      <c r="B4" s="4">
        <v>1.1995158606479099</v>
      </c>
    </row>
    <row r="5" spans="1:2" ht="18" x14ac:dyDescent="0.2">
      <c r="A5" s="1" t="s">
        <v>0</v>
      </c>
      <c r="B5" s="4">
        <v>0.86908487374434096</v>
      </c>
    </row>
    <row r="6" spans="1:2" ht="18" x14ac:dyDescent="0.2">
      <c r="A6" s="1" t="s">
        <v>13</v>
      </c>
      <c r="B6" s="4">
        <v>1.11989805891392</v>
      </c>
    </row>
    <row r="7" spans="1:2" ht="18" x14ac:dyDescent="0.2">
      <c r="A7" s="1" t="s">
        <v>15</v>
      </c>
      <c r="B7" s="4">
        <v>1.19946588566002</v>
      </c>
    </row>
    <row r="8" spans="1:2" ht="18" x14ac:dyDescent="0.2">
      <c r="A8" s="1" t="s">
        <v>16</v>
      </c>
      <c r="B8" s="4">
        <v>1.16052802963702</v>
      </c>
    </row>
    <row r="9" spans="1:2" ht="18" x14ac:dyDescent="0.2">
      <c r="A9" s="1" t="s">
        <v>17</v>
      </c>
      <c r="B9" s="4">
        <v>1.12402533093521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8AA3-0D68-694E-A696-73A02DF83B1E}">
  <dimension ref="A1:H16"/>
  <sheetViews>
    <sheetView tabSelected="1" zoomScale="150" workbookViewId="0">
      <selection activeCell="B20" sqref="B20"/>
    </sheetView>
  </sheetViews>
  <sheetFormatPr baseColWidth="10" defaultRowHeight="16" x14ac:dyDescent="0.2"/>
  <cols>
    <col min="2" max="2" width="60.1640625" bestFit="1" customWidth="1"/>
    <col min="3" max="3" width="12.1640625" bestFit="1" customWidth="1"/>
    <col min="4" max="4" width="17.33203125" style="5" bestFit="1" customWidth="1"/>
    <col min="5" max="5" width="17.33203125" style="5" customWidth="1"/>
  </cols>
  <sheetData>
    <row r="1" spans="1:8" x14ac:dyDescent="0.2">
      <c r="B1" s="1" t="s">
        <v>33</v>
      </c>
      <c r="C1" s="1" t="s">
        <v>53</v>
      </c>
      <c r="D1" s="1" t="s">
        <v>56</v>
      </c>
      <c r="E1" s="1" t="s">
        <v>57</v>
      </c>
      <c r="G1" t="s">
        <v>43</v>
      </c>
      <c r="H1">
        <f>Sheet1!E3*2</f>
        <v>1.3368204790931486</v>
      </c>
    </row>
    <row r="2" spans="1:8" x14ac:dyDescent="0.2">
      <c r="A2" t="s">
        <v>36</v>
      </c>
      <c r="B2" t="s">
        <v>37</v>
      </c>
      <c r="C2">
        <f>10^-11.101768</f>
        <v>7.9110112115639112E-12</v>
      </c>
      <c r="D2" s="6">
        <v>7.9110164857329103E-12</v>
      </c>
      <c r="E2" s="6">
        <f>C2-D2</f>
        <v>-5.2741689991455686E-18</v>
      </c>
      <c r="G2" t="s">
        <v>44</v>
      </c>
      <c r="H2">
        <f>Sheet1!E5</f>
        <v>0.12784043544987053</v>
      </c>
    </row>
    <row r="3" spans="1:8" x14ac:dyDescent="0.2">
      <c r="A3" t="s">
        <v>31</v>
      </c>
      <c r="B3" t="s">
        <v>52</v>
      </c>
      <c r="C3">
        <v>7.2968500000000001</v>
      </c>
      <c r="D3" s="7">
        <v>7.2969344854999996</v>
      </c>
      <c r="E3" s="6">
        <f>C3-D3</f>
        <v>-8.4485499999509273E-5</v>
      </c>
    </row>
    <row r="4" spans="1:8" x14ac:dyDescent="0.2">
      <c r="A4" t="s">
        <v>32</v>
      </c>
      <c r="B4" t="s">
        <v>52</v>
      </c>
      <c r="C4">
        <v>4.9765600000000001</v>
      </c>
      <c r="D4" s="7">
        <v>4.9764539578000004</v>
      </c>
      <c r="E4" s="6">
        <f>C4-D4</f>
        <v>1.0604219999965636E-4</v>
      </c>
      <c r="G4" t="s">
        <v>49</v>
      </c>
    </row>
    <row r="5" spans="1:8" x14ac:dyDescent="0.2">
      <c r="A5" t="s">
        <v>54</v>
      </c>
      <c r="B5" t="s">
        <v>55</v>
      </c>
      <c r="C5">
        <v>4.26919</v>
      </c>
      <c r="D5" s="7">
        <v>4.26918839299986</v>
      </c>
      <c r="E5" s="6">
        <f>C5-D5</f>
        <v>1.6070001400692036E-6</v>
      </c>
      <c r="G5" t="s">
        <v>34</v>
      </c>
    </row>
    <row r="6" spans="1:8" x14ac:dyDescent="0.2">
      <c r="A6" t="s">
        <v>58</v>
      </c>
      <c r="B6" t="s">
        <v>65</v>
      </c>
      <c r="C6">
        <f>logKs!C2*fugacities!C5*SQRT(fugacities!C2)</f>
        <v>713.52323509945336</v>
      </c>
      <c r="D6" s="7">
        <v>713.52320436466903</v>
      </c>
      <c r="E6" s="6">
        <f>C6-D6</f>
        <v>3.0734784331798437E-5</v>
      </c>
      <c r="G6" t="s">
        <v>35</v>
      </c>
    </row>
    <row r="7" spans="1:8" x14ac:dyDescent="0.2">
      <c r="A7" t="s">
        <v>59</v>
      </c>
      <c r="B7" t="s">
        <v>62</v>
      </c>
      <c r="C7">
        <f>logKs!C5*SQRT(fugacities!C4)*fugacities!C2</f>
        <v>14.220786157682392</v>
      </c>
      <c r="D7" s="7">
        <v>14.220644126961901</v>
      </c>
      <c r="E7" s="6">
        <f>C7-D7</f>
        <v>1.4203072049134846E-4</v>
      </c>
    </row>
    <row r="8" spans="1:8" x14ac:dyDescent="0.2">
      <c r="A8" t="s">
        <v>60</v>
      </c>
      <c r="B8" t="s">
        <v>63</v>
      </c>
      <c r="C8">
        <f>logKs!C4*fugacities!C3*SQRT(fugacities!C4)</f>
        <v>400.92928173572443</v>
      </c>
      <c r="D8" s="7">
        <v>400.92965219656799</v>
      </c>
      <c r="E8" s="6">
        <f>C8-D8</f>
        <v>-3.7046084355552011E-4</v>
      </c>
      <c r="G8" t="s">
        <v>48</v>
      </c>
    </row>
    <row r="9" spans="1:8" x14ac:dyDescent="0.2">
      <c r="A9" t="s">
        <v>61</v>
      </c>
      <c r="B9" t="s">
        <v>64</v>
      </c>
      <c r="C9">
        <f>logKs!C3*SQRT(fugacities!C2)*fugacities!C3</f>
        <v>1423.631304082651</v>
      </c>
      <c r="D9" s="7">
        <v>1423.6482619511501</v>
      </c>
      <c r="E9" s="6">
        <f>C9-D9</f>
        <v>-1.6957868499048345E-2</v>
      </c>
      <c r="G9" t="s">
        <v>45</v>
      </c>
    </row>
    <row r="10" spans="1:8" x14ac:dyDescent="0.2">
      <c r="G10" t="s">
        <v>46</v>
      </c>
    </row>
    <row r="12" spans="1:8" x14ac:dyDescent="0.2">
      <c r="G12" t="s">
        <v>47</v>
      </c>
    </row>
    <row r="13" spans="1:8" x14ac:dyDescent="0.2">
      <c r="G13" t="s">
        <v>50</v>
      </c>
    </row>
    <row r="14" spans="1:8" x14ac:dyDescent="0.2">
      <c r="G14" t="s">
        <v>51</v>
      </c>
    </row>
    <row r="16" spans="1:8" x14ac:dyDescent="0.2">
      <c r="G16">
        <f>0.01466216-0.00733108</f>
        <v>7.3310800000000002E-3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logKs</vt:lpstr>
      <vt:lpstr>gammas</vt:lpstr>
      <vt:lpstr>fugacities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2022-10-12T16:27:00Z</dcterms:created>
  <dcterms:modified xsi:type="dcterms:W3CDTF">2022-10-12T23:01:29Z</dcterms:modified>
</cp:coreProperties>
</file>