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showInkAnnotation="0" autoCompressPictures="0"/>
  <mc:AlternateContent xmlns:mc="http://schemas.openxmlformats.org/markup-compatibility/2006">
    <mc:Choice Requires="x15">
      <x15ac:absPath xmlns:x15ac="http://schemas.microsoft.com/office/spreadsheetml/2010/11/ac" url="/Users/kiacovin/Dropbox/Research/Calculators and Spreadsheets/"/>
    </mc:Choice>
  </mc:AlternateContent>
  <xr:revisionPtr revIDLastSave="0" documentId="13_ncr:1_{22F2586F-93E2-CD46-8C6E-EABDE8D04C94}" xr6:coauthVersionLast="47" xr6:coauthVersionMax="47" xr10:uidLastSave="{00000000-0000-0000-0000-000000000000}"/>
  <bookViews>
    <workbookView xWindow="10160" yWindow="4400" windowWidth="30420" windowHeight="21000" tabRatio="678" activeTab="4" xr2:uid="{00000000-000D-0000-FFFF-FFFF00000000}"/>
  </bookViews>
  <sheets>
    <sheet name="Translate from logfO2 value" sheetId="1" r:id="rId1"/>
    <sheet name="Translate from dQFM" sheetId="3" r:id="rId2"/>
    <sheet name="Translate from dNNO" sheetId="4" r:id="rId3"/>
    <sheet name="Translate from IW" sheetId="5" r:id="rId4"/>
    <sheet name="Equilibrium Parameters" sheetId="2" r:id="rId5"/>
    <sheet name="Citations" sheetId="6" r:id="rId6"/>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9" i="1" l="1"/>
  <c r="F29" i="1" s="1"/>
  <c r="C31" i="5"/>
  <c r="C31" i="3"/>
  <c r="C31" i="4"/>
  <c r="C32" i="1"/>
  <c r="F32" i="1" s="1"/>
  <c r="C34" i="4"/>
  <c r="F34" i="4" s="1"/>
  <c r="F33" i="4"/>
  <c r="C33" i="4"/>
  <c r="F31" i="1"/>
  <c r="C31" i="1"/>
  <c r="C19" i="5"/>
  <c r="C12" i="5"/>
  <c r="C27" i="5" s="1"/>
  <c r="C32" i="4"/>
  <c r="F30" i="1"/>
  <c r="C30" i="1"/>
  <c r="C27" i="1"/>
  <c r="C19" i="3"/>
  <c r="C17" i="1"/>
  <c r="C30" i="4"/>
  <c r="C19" i="4"/>
  <c r="C34" i="5" l="1"/>
  <c r="C33" i="5"/>
  <c r="C21" i="5"/>
  <c r="C22" i="5"/>
  <c r="C23" i="5"/>
  <c r="C25" i="5"/>
  <c r="C26" i="5"/>
  <c r="C17" i="5"/>
  <c r="C29" i="5"/>
  <c r="C18" i="5"/>
  <c r="C10" i="5" s="1"/>
  <c r="F34" i="5" s="1"/>
  <c r="C30" i="5"/>
  <c r="C16" i="5"/>
  <c r="C20" i="5"/>
  <c r="C24" i="5"/>
  <c r="C28" i="5"/>
  <c r="C32" i="5"/>
  <c r="C12" i="4"/>
  <c r="C25" i="4"/>
  <c r="C10" i="4" s="1"/>
  <c r="C21" i="4"/>
  <c r="C20" i="4"/>
  <c r="C18" i="4"/>
  <c r="C17" i="4"/>
  <c r="C16" i="4"/>
  <c r="C12" i="3"/>
  <c r="C10" i="1"/>
  <c r="C22" i="3" l="1"/>
  <c r="C30" i="3"/>
  <c r="C34" i="3"/>
  <c r="C23" i="3"/>
  <c r="C20" i="3"/>
  <c r="C29" i="3"/>
  <c r="C16" i="3"/>
  <c r="C24" i="3"/>
  <c r="C10" i="3" s="1"/>
  <c r="C17" i="3"/>
  <c r="C25" i="3"/>
  <c r="C26" i="3"/>
  <c r="C27" i="3"/>
  <c r="C28" i="3"/>
  <c r="C21" i="3"/>
  <c r="C32" i="3"/>
  <c r="C18" i="3"/>
  <c r="C33" i="3"/>
  <c r="F33" i="5"/>
  <c r="F32" i="4"/>
  <c r="F31" i="4"/>
  <c r="F30" i="4"/>
  <c r="F32" i="5"/>
  <c r="F28" i="5"/>
  <c r="F24" i="5"/>
  <c r="F20" i="5"/>
  <c r="F16" i="5"/>
  <c r="F25" i="5"/>
  <c r="F26" i="5"/>
  <c r="F22" i="5"/>
  <c r="F18" i="5"/>
  <c r="F31" i="5"/>
  <c r="F27" i="5"/>
  <c r="F23" i="5"/>
  <c r="F19" i="5"/>
  <c r="F21" i="5"/>
  <c r="F30" i="5"/>
  <c r="F29" i="5"/>
  <c r="F17" i="5"/>
  <c r="C28" i="1"/>
  <c r="F19" i="4"/>
  <c r="C24" i="4"/>
  <c r="F24" i="4" s="1"/>
  <c r="C29" i="4"/>
  <c r="F29" i="4" s="1"/>
  <c r="C14" i="1"/>
  <c r="C22" i="1"/>
  <c r="C23" i="1"/>
  <c r="C18" i="1"/>
  <c r="C22" i="4"/>
  <c r="C26" i="1"/>
  <c r="C16" i="1"/>
  <c r="C21" i="1"/>
  <c r="C23" i="4"/>
  <c r="F23" i="4" s="1"/>
  <c r="C26" i="4"/>
  <c r="F26" i="4" s="1"/>
  <c r="C27" i="4"/>
  <c r="C28" i="4"/>
  <c r="F28" i="4" s="1"/>
  <c r="F25" i="4"/>
  <c r="F22" i="4"/>
  <c r="F27" i="4"/>
  <c r="F17" i="4"/>
  <c r="F20" i="4"/>
  <c r="C25" i="1"/>
  <c r="C20" i="1"/>
  <c r="C15" i="1"/>
  <c r="C24" i="1"/>
  <c r="C19" i="1"/>
  <c r="F16" i="4"/>
  <c r="F18" i="4"/>
  <c r="F21" i="4"/>
  <c r="F33" i="3" l="1"/>
  <c r="F34" i="3"/>
  <c r="F31" i="3"/>
  <c r="F32" i="3"/>
  <c r="F23" i="3"/>
  <c r="F16" i="3"/>
  <c r="F20" i="3"/>
  <c r="F24" i="3"/>
  <c r="F28" i="3"/>
  <c r="F22" i="3"/>
  <c r="F30" i="3"/>
  <c r="F27" i="3"/>
  <c r="F17" i="3"/>
  <c r="F21" i="3"/>
  <c r="F25" i="3"/>
  <c r="F29" i="3"/>
  <c r="F18" i="3"/>
  <c r="F26" i="3"/>
  <c r="F19" i="3"/>
  <c r="F17" i="1"/>
  <c r="F14" i="1" l="1"/>
  <c r="F28" i="1"/>
  <c r="F23" i="1"/>
  <c r="F15" i="1"/>
  <c r="F18" i="1"/>
  <c r="F19" i="1"/>
  <c r="F26" i="1"/>
  <c r="F25" i="1"/>
  <c r="F27" i="1"/>
  <c r="F22" i="1"/>
  <c r="F20" i="1"/>
  <c r="F24" i="1"/>
  <c r="F16" i="1"/>
  <c r="F21" i="1"/>
</calcChain>
</file>

<file path=xl/sharedStrings.xml><?xml version="1.0" encoding="utf-8"?>
<sst xmlns="http://schemas.openxmlformats.org/spreadsheetml/2006/main" count="274" uniqueCount="70">
  <si>
    <t>Buffer</t>
  </si>
  <si>
    <t>A</t>
  </si>
  <si>
    <t>B</t>
  </si>
  <si>
    <t>C</t>
  </si>
  <si>
    <t>QIF (Low T)</t>
  </si>
  <si>
    <t>QIF (High T)</t>
  </si>
  <si>
    <t>IW</t>
  </si>
  <si>
    <t>WM</t>
  </si>
  <si>
    <t>IM</t>
  </si>
  <si>
    <t>CoCoO</t>
  </si>
  <si>
    <t>FMQ (Low T)</t>
  </si>
  <si>
    <t>FMQ (High T)</t>
  </si>
  <si>
    <t>NNO</t>
  </si>
  <si>
    <t>MH (Low T)</t>
  </si>
  <si>
    <t>MH (Med T)</t>
  </si>
  <si>
    <t>MH (High T)</t>
  </si>
  <si>
    <t>logfO2</t>
  </si>
  <si>
    <t>USER INPUT</t>
  </si>
  <si>
    <t>Temp (°C)</t>
  </si>
  <si>
    <t>OUTPUTS</t>
  </si>
  <si>
    <t>Temp (K)</t>
  </si>
  <si>
    <t>BUFFER VALUES AT GIVEN T</t>
  </si>
  <si>
    <t>P (bars)</t>
  </si>
  <si>
    <t>fO2 IN TERMS OF GIVEN BUFFER</t>
  </si>
  <si>
    <t>Δ</t>
  </si>
  <si>
    <t>dQFM (high T)</t>
  </si>
  <si>
    <t>fO2 abs value</t>
  </si>
  <si>
    <t>dNNO</t>
  </si>
  <si>
    <t>SiSiO2</t>
  </si>
  <si>
    <t>IW (High P)</t>
  </si>
  <si>
    <t>Uses expression below</t>
  </si>
  <si>
    <t>log(fO2) = (6.54106+0.0012324*P) + (-28163.6+546.32*P-1.13412*P**2+0.0019274*P**3)/T</t>
  </si>
  <si>
    <t>P in GPa, T in K</t>
  </si>
  <si>
    <t>Graphite-CO-CO2</t>
  </si>
  <si>
    <t>French and Eugster (1965)</t>
  </si>
  <si>
    <t>log(fO2) = (-20586/t) - 0.044 + log(P) - 0.028 * (P-1)/T</t>
  </si>
  <si>
    <t>Campbell et al. (2009) &gt; 10-15 Gpa</t>
  </si>
  <si>
    <t>Re-ReO</t>
  </si>
  <si>
    <t>Pownceby and O'Neill (1994)</t>
  </si>
  <si>
    <t>ReReO</t>
  </si>
  <si>
    <t>Si-SiO2</t>
  </si>
  <si>
    <t>Chase (1998); Barin (1993), Hu (1984), Fried, Howard, and Souers</t>
  </si>
  <si>
    <t>log(fO2) at 1 bar = log(e^((-911336 + 212.2423*T - 4.512*T*ln(T))/(8.314*T)))</t>
  </si>
  <si>
    <t>log(fO2) at P = (1/T*0.4343*120*((0.00251*P^3 - 0.2044*P^2 + 10.3225*P)-(0.00251*0.001^3 - 0.2004*0.0001^2 + 10.32257*0.001)))+fO2_1-bar</t>
  </si>
  <si>
    <t>Cr-Cr2O3</t>
  </si>
  <si>
    <t>log(fO2) at 1 bar = log(e^((-758585+349.718*T-25.5216*T*LN(T)+0.00935*T^2)/(R*T)))</t>
  </si>
  <si>
    <t>dIW</t>
  </si>
  <si>
    <t>Mo-MoO2</t>
  </si>
  <si>
    <t>Bygdén et al., 1994</t>
  </si>
  <si>
    <t>log(fO2) at 1 bar = log(e^((-580563+173*T)/(R*T)))</t>
  </si>
  <si>
    <t>Mn-MnO</t>
  </si>
  <si>
    <t>Robie et al. (1979)</t>
  </si>
  <si>
    <t>log(fO2) at 1 bar = 2* LOG(EXP((-376969 - 4.19123*T*LN(T))/(R*T)))</t>
  </si>
  <si>
    <t>Expression for 1 bar</t>
  </si>
  <si>
    <t>P &gt; 10-15 Gpa</t>
  </si>
  <si>
    <r>
      <t>Version 1.4</t>
    </r>
    <r>
      <rPr>
        <sz val="16"/>
        <color rgb="FF555555"/>
        <rFont val="Arial"/>
        <family val="2"/>
      </rPr>
      <t> </t>
    </r>
    <r>
      <rPr>
        <i/>
        <sz val="16"/>
        <color rgb="FF555555"/>
        <rFont val="Arial"/>
        <family val="2"/>
      </rPr>
      <t>19 July 2021</t>
    </r>
    <r>
      <rPr>
        <sz val="16"/>
        <color rgb="FF555555"/>
        <rFont val="Arial"/>
        <family val="2"/>
      </rPr>
      <t> Added equation for Mn-MnO buffer. Also flagged which reactions are calibrated only for 1 bar ( these equations have no pressure dependence).</t>
    </r>
  </si>
  <si>
    <r>
      <t>Version 1.3 </t>
    </r>
    <r>
      <rPr>
        <i/>
        <sz val="16"/>
        <color rgb="FF555555"/>
        <rFont val="Arial"/>
        <family val="2"/>
      </rPr>
      <t>3 June 2021 </t>
    </r>
    <r>
      <rPr>
        <sz val="16"/>
        <color rgb="FF555555"/>
        <rFont val="Arial"/>
        <family val="2"/>
      </rPr>
      <t>Added equations for Graphite-CO-CO2 (GCO), Re-ReO, Cr-Cr2O3, and MoMoO2 buffers. Added “Translate from IW” tab.</t>
    </r>
  </si>
  <si>
    <r>
      <t>Version 1.2 </t>
    </r>
    <r>
      <rPr>
        <i/>
        <sz val="16"/>
        <color rgb="FF555555"/>
        <rFont val="Arial"/>
        <family val="2"/>
      </rPr>
      <t>28 May 2020</t>
    </r>
    <r>
      <rPr>
        <sz val="16"/>
        <color rgb="FF555555"/>
        <rFont val="Arial"/>
        <family val="2"/>
      </rPr>
      <t> Added equation for Si-SiO2 buffer.</t>
    </r>
  </si>
  <si>
    <r>
      <t>Version 1.1</t>
    </r>
    <r>
      <rPr>
        <sz val="16"/>
        <color rgb="FF555555"/>
        <rFont val="Arial"/>
        <family val="2"/>
      </rPr>
      <t> Added ability to convert from a buffer value to the actual logfO2 value and into other buffers. Useful, for example, in comparing two data sets where one is expressed in terms of ΔNNO and the other in terms of ΔQFM. Updated 6 October 2016.</t>
    </r>
  </si>
  <si>
    <r>
      <t>Version 1.5</t>
    </r>
    <r>
      <rPr>
        <sz val="16"/>
        <color rgb="FF555555"/>
        <rFont val="Arial"/>
        <family val="2"/>
      </rPr>
      <t> 1</t>
    </r>
    <r>
      <rPr>
        <i/>
        <sz val="16"/>
        <color rgb="FF555555"/>
        <rFont val="Arial"/>
        <family val="2"/>
      </rPr>
      <t xml:space="preserve"> Dec 2022</t>
    </r>
    <r>
      <rPr>
        <sz val="16"/>
        <color rgb="FF555555"/>
        <rFont val="Arial"/>
        <family val="2"/>
      </rPr>
      <t> Fixed Re-ReO buffer (previously used log when ln should have been used). Credit Daniel Coulthard for the fix!</t>
    </r>
  </si>
  <si>
    <t>References:</t>
  </si>
  <si>
    <t>B. R. Frost (1991) in Mineralogical Society of America “Reviews in Mineralogy” Volume 25.</t>
  </si>
  <si>
    <t>Holzheid and O'Neill (1995) at 1 bar (600–1800 K)</t>
  </si>
  <si>
    <r>
      <t>Bygden, J., Du Sichen, and S. Seetharaman. "A thermodynamic study of the molybdenum-oxygen system." </t>
    </r>
    <r>
      <rPr>
        <i/>
        <sz val="13"/>
        <color rgb="FF222222"/>
        <rFont val="Arial"/>
        <family val="2"/>
      </rPr>
      <t>Metallurgical and Materials Transactions B</t>
    </r>
    <r>
      <rPr>
        <sz val="13"/>
        <color rgb="FF222222"/>
        <rFont val="Arial"/>
        <family val="2"/>
      </rPr>
      <t> 25.6 (1994): 885-891.</t>
    </r>
  </si>
  <si>
    <r>
      <t xml:space="preserve">Holzheid, A. &amp; O’Neill, H. St. C. The Cr-Cr203 oxygen buffer and the free energy of formation of Cr203 from high-temperature electrochemical measurements. </t>
    </r>
    <r>
      <rPr>
        <i/>
        <sz val="12"/>
        <color theme="1"/>
        <rFont val="Calibri"/>
        <family val="2"/>
        <scheme val="minor"/>
      </rPr>
      <t>Geochim Cosmochim Ac</t>
    </r>
    <r>
      <rPr>
        <sz val="12"/>
        <color theme="1"/>
        <rFont val="Calibri"/>
        <family val="2"/>
        <scheme val="minor"/>
      </rPr>
      <t xml:space="preserve"> </t>
    </r>
    <r>
      <rPr>
        <b/>
        <sz val="12"/>
        <color theme="1"/>
        <rFont val="Calibri"/>
        <family val="2"/>
        <scheme val="minor"/>
      </rPr>
      <t>59</t>
    </r>
    <r>
      <rPr>
        <sz val="12"/>
        <color theme="1"/>
        <rFont val="Calibri"/>
        <family val="2"/>
        <scheme val="minor"/>
      </rPr>
      <t>, 475–479 (1995).</t>
    </r>
  </si>
  <si>
    <r>
      <t xml:space="preserve">Campbell, A. J. </t>
    </r>
    <r>
      <rPr>
        <i/>
        <sz val="12"/>
        <color theme="1"/>
        <rFont val="Calibri"/>
        <family val="2"/>
        <scheme val="minor"/>
      </rPr>
      <t>et al.</t>
    </r>
    <r>
      <rPr>
        <sz val="12"/>
        <color theme="1"/>
        <rFont val="Calibri"/>
        <family val="2"/>
        <scheme val="minor"/>
      </rPr>
      <t xml:space="preserve"> High pressure effects on the iron–iron oxide and nickel–nickel oxide oxygen fugacity buffers. </t>
    </r>
    <r>
      <rPr>
        <i/>
        <sz val="12"/>
        <color theme="1"/>
        <rFont val="Calibri"/>
        <family val="2"/>
        <scheme val="minor"/>
      </rPr>
      <t>Earth Planet Sc Lett</t>
    </r>
    <r>
      <rPr>
        <sz val="12"/>
        <color theme="1"/>
        <rFont val="Calibri"/>
        <family val="2"/>
        <scheme val="minor"/>
      </rPr>
      <t xml:space="preserve"> </t>
    </r>
    <r>
      <rPr>
        <b/>
        <sz val="12"/>
        <color theme="1"/>
        <rFont val="Calibri"/>
        <family val="2"/>
        <scheme val="minor"/>
      </rPr>
      <t>286</t>
    </r>
    <r>
      <rPr>
        <sz val="12"/>
        <color theme="1"/>
        <rFont val="Calibri"/>
        <family val="2"/>
        <scheme val="minor"/>
      </rPr>
      <t>, 556–564 (2009).</t>
    </r>
  </si>
  <si>
    <r>
      <t xml:space="preserve">French, B. M. &amp; Eugster, H. P. Experimental control of oxygen fugacities by graphite‐gas equilibriums. </t>
    </r>
    <r>
      <rPr>
        <i/>
        <sz val="12"/>
        <color theme="1"/>
        <rFont val="Calibri"/>
        <family val="2"/>
        <scheme val="minor"/>
      </rPr>
      <t>J Geophys Res</t>
    </r>
    <r>
      <rPr>
        <sz val="12"/>
        <color theme="1"/>
        <rFont val="Calibri"/>
        <family val="2"/>
        <scheme val="minor"/>
      </rPr>
      <t xml:space="preserve"> </t>
    </r>
    <r>
      <rPr>
        <b/>
        <sz val="12"/>
        <color theme="1"/>
        <rFont val="Calibri"/>
        <family val="2"/>
        <scheme val="minor"/>
      </rPr>
      <t>70</t>
    </r>
    <r>
      <rPr>
        <sz val="12"/>
        <color theme="1"/>
        <rFont val="Calibri"/>
        <family val="2"/>
        <scheme val="minor"/>
      </rPr>
      <t>, 1529–1539 (1965).</t>
    </r>
  </si>
  <si>
    <r>
      <t xml:space="preserve">Pownceby, M. I. &amp; O’Neill, H. St. C. Thermodynamic data from redox reactions at high temperatures. IV. Calibration of the Re-ReO2 oxygen buffer from EMF and NiO+Ni-Pd redox sensor measurements. </t>
    </r>
    <r>
      <rPr>
        <i/>
        <sz val="12"/>
        <color theme="1"/>
        <rFont val="Calibri"/>
        <family val="2"/>
        <scheme val="minor"/>
      </rPr>
      <t>Contr. Mineral. And Petrol.</t>
    </r>
    <r>
      <rPr>
        <sz val="12"/>
        <color theme="1"/>
        <rFont val="Calibri"/>
        <family val="2"/>
        <scheme val="minor"/>
      </rPr>
      <t xml:space="preserve"> </t>
    </r>
    <r>
      <rPr>
        <b/>
        <sz val="12"/>
        <color theme="1"/>
        <rFont val="Calibri"/>
        <family val="2"/>
        <scheme val="minor"/>
      </rPr>
      <t>118</t>
    </r>
    <r>
      <rPr>
        <sz val="12"/>
        <color theme="1"/>
        <rFont val="Calibri"/>
        <family val="2"/>
        <scheme val="minor"/>
      </rPr>
      <t>, 130–137 (1994).</t>
    </r>
  </si>
  <si>
    <t>Please cite as: Iacovino, Kayla. (2022). Calculate fO2 Buffer (1.5). Zenodo. https://doi.org/10.5281/zenodo.7387196</t>
  </si>
  <si>
    <t>log(fO2) = (-451020 + 297.595 * T - 14.6586T*ln(T))/(8.31441*T*ln(10))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</si>
</sst>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quot;On Forecast&quot;"/>
  </numFmts>
  <fonts count="12" x14ac:knownFonts="1">
    <font>
      <sz val="12"/>
      <color theme="1"/>
      <name val="Calibri"/>
      <family val="2"/>
      <scheme val="minor"/>
    </font>
    <font>
      <b/>
      <sz val="12"/>
      <color theme="1"/>
      <name val="Calibri"/>
      <family val="2"/>
      <scheme val="minor"/>
    </font>
    <font>
      <b/>
      <sz val="12"/>
      <color rgb="FF444444"/>
      <name val="Arial"/>
      <family val="2"/>
    </font>
    <font>
      <u/>
      <sz val="12"/>
      <color theme="10"/>
      <name val="Calibri"/>
      <family val="2"/>
      <scheme val="minor"/>
    </font>
    <font>
      <u/>
      <sz val="12"/>
      <color theme="11"/>
      <name val="Calibri"/>
      <family val="2"/>
      <scheme val="minor"/>
    </font>
    <font>
      <i/>
      <sz val="12"/>
      <color rgb="FFFF0000"/>
      <name val="Calibri"/>
      <family val="2"/>
      <scheme val="minor"/>
    </font>
    <font>
      <sz val="16"/>
      <color rgb="FF555555"/>
      <name val="Arial"/>
      <family val="2"/>
    </font>
    <font>
      <b/>
      <sz val="16"/>
      <color rgb="FF555555"/>
      <name val="Arial"/>
      <family val="2"/>
    </font>
    <font>
      <i/>
      <sz val="16"/>
      <color rgb="FF555555"/>
      <name val="Arial"/>
      <family val="2"/>
    </font>
    <font>
      <i/>
      <sz val="12"/>
      <color theme="1"/>
      <name val="Calibri"/>
      <family val="2"/>
      <scheme val="minor"/>
    </font>
    <font>
      <sz val="13"/>
      <color rgb="FF222222"/>
      <name val="Arial"/>
      <family val="2"/>
    </font>
    <font>
      <i/>
      <sz val="13"/>
      <color rgb="FF222222"/>
      <name val="Arial"/>
      <family val="2"/>
    </font>
  </fonts>
  <fills count="2">
    <fill>
      <patternFill patternType="none"/>
    </fill>
    <fill>
      <patternFill patternType="gray125"/>
    </fill>
  </fills>
  <borders count="15">
    <border>
      <left/>
      <right/>
      <top/>
      <bottom/>
      <diagonal/>
    </border>
    <border>
      <left/>
      <right style="thick">
        <color rgb="FFFF0000"/>
      </right>
      <top/>
      <bottom style="thick">
        <color rgb="FFFF0000"/>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style="medium">
        <color rgb="FF0432FF"/>
      </left>
      <right/>
      <top style="medium">
        <color rgb="FF0432FF"/>
      </top>
      <bottom/>
      <diagonal/>
    </border>
    <border>
      <left/>
      <right/>
      <top style="medium">
        <color rgb="FF0432FF"/>
      </top>
      <bottom/>
      <diagonal/>
    </border>
    <border>
      <left/>
      <right style="medium">
        <color rgb="FF0432FF"/>
      </right>
      <top style="medium">
        <color rgb="FF0432FF"/>
      </top>
      <bottom/>
      <diagonal/>
    </border>
    <border>
      <left style="medium">
        <color rgb="FF0432FF"/>
      </left>
      <right/>
      <top/>
      <bottom/>
      <diagonal/>
    </border>
    <border>
      <left/>
      <right style="medium">
        <color rgb="FF0432FF"/>
      </right>
      <top/>
      <bottom/>
      <diagonal/>
    </border>
    <border>
      <left style="medium">
        <color rgb="FF0432FF"/>
      </left>
      <right/>
      <top/>
      <bottom style="medium">
        <color rgb="FF0432FF"/>
      </bottom>
      <diagonal/>
    </border>
    <border>
      <left/>
      <right/>
      <top/>
      <bottom style="medium">
        <color rgb="FF0432FF"/>
      </bottom>
      <diagonal/>
    </border>
    <border>
      <left/>
      <right style="medium">
        <color rgb="FF0432FF"/>
      </right>
      <top/>
      <bottom style="medium">
        <color rgb="FF0432FF"/>
      </bottom>
      <diagonal/>
    </border>
  </borders>
  <cellStyleXfs count="1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0" fontId="1" fillId="0" borderId="0" xfId="0" applyFont="1"/>
    <xf numFmtId="0" fontId="0" fillId="0" borderId="1" xfId="0" applyBorder="1"/>
    <xf numFmtId="0" fontId="1" fillId="0" borderId="2" xfId="0" applyFont="1" applyBorder="1"/>
    <xf numFmtId="0" fontId="0" fillId="0" borderId="3" xfId="0" applyBorder="1"/>
    <xf numFmtId="0" fontId="1" fillId="0" borderId="4" xfId="0" applyFont="1" applyBorder="1"/>
    <xf numFmtId="0" fontId="0" fillId="0" borderId="5" xfId="0" applyBorder="1"/>
    <xf numFmtId="0" fontId="1" fillId="0" borderId="6" xfId="0" applyFont="1" applyBorder="1"/>
    <xf numFmtId="0" fontId="2" fillId="0" borderId="0" xfId="0" applyFont="1"/>
    <xf numFmtId="0" fontId="0" fillId="0" borderId="4" xfId="0" applyBorder="1"/>
    <xf numFmtId="0" fontId="0" fillId="0" borderId="6" xfId="0" applyBorder="1"/>
    <xf numFmtId="0" fontId="0" fillId="0" borderId="2" xfId="0" applyBorder="1"/>
    <xf numFmtId="0" fontId="1" fillId="0" borderId="7" xfId="0" applyFont="1" applyBorder="1"/>
    <xf numFmtId="0" fontId="0" fillId="0" borderId="8" xfId="0" applyBorder="1"/>
    <xf numFmtId="0" fontId="1" fillId="0" borderId="8" xfId="0" applyFont="1" applyBorder="1"/>
    <xf numFmtId="0" fontId="0" fillId="0" borderId="9" xfId="0" applyBorder="1"/>
    <xf numFmtId="0" fontId="1" fillId="0" borderId="10" xfId="0" applyFont="1" applyBorder="1"/>
    <xf numFmtId="0" fontId="2" fillId="0" borderId="11" xfId="0" applyFont="1" applyBorder="1"/>
    <xf numFmtId="0" fontId="0" fillId="0" borderId="10" xfId="0" applyBorder="1"/>
    <xf numFmtId="164" fontId="0" fillId="0" borderId="11" xfId="0" applyNumberFormat="1" applyBorder="1"/>
    <xf numFmtId="0" fontId="0" fillId="0" borderId="12" xfId="0" applyBorder="1"/>
    <xf numFmtId="0" fontId="0" fillId="0" borderId="13" xfId="0" applyBorder="1"/>
    <xf numFmtId="164" fontId="0" fillId="0" borderId="14" xfId="0" applyNumberFormat="1" applyBorder="1"/>
    <xf numFmtId="0" fontId="0" fillId="0" borderId="7" xfId="0" applyBorder="1"/>
    <xf numFmtId="0" fontId="0" fillId="0" borderId="11" xfId="0" applyBorder="1"/>
    <xf numFmtId="0" fontId="5" fillId="0" borderId="0" xfId="0" applyFont="1"/>
    <xf numFmtId="0" fontId="3" fillId="0" borderId="0" xfId="13"/>
    <xf numFmtId="0" fontId="7" fillId="0" borderId="0" xfId="0" applyFont="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495300</xdr:colOff>
      <xdr:row>2</xdr:row>
      <xdr:rowOff>139700</xdr:rowOff>
    </xdr:from>
    <xdr:to>
      <xdr:col>14</xdr:col>
      <xdr:colOff>749300</xdr:colOff>
      <xdr:row>29</xdr:row>
      <xdr:rowOff>152400</xdr:rowOff>
    </xdr:to>
    <xdr:pic>
      <xdr:nvPicPr>
        <xdr:cNvPr id="1064" name="Picture 2" descr="table003.jpg">
          <a:extLst>
            <a:ext uri="{FF2B5EF4-FFF2-40B4-BE49-F238E27FC236}">
              <a16:creationId xmlns:a16="http://schemas.microsoft.com/office/drawing/2014/main" id="{00000000-0008-0000-0300-000028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330200"/>
          <a:ext cx="6032500" cy="5156200"/>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800100</xdr:colOff>
      <xdr:row>30</xdr:row>
      <xdr:rowOff>139700</xdr:rowOff>
    </xdr:from>
    <xdr:to>
      <xdr:col>14</xdr:col>
      <xdr:colOff>647700</xdr:colOff>
      <xdr:row>54</xdr:row>
      <xdr:rowOff>49826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6667500" y="6032500"/>
          <a:ext cx="5626100" cy="4786926"/>
        </a:xfrm>
        <a:prstGeom prst="rect">
          <a:avLst/>
        </a:prstGeom>
        <a:solidFill>
          <a:srgbClr val="FFFFFF">
            <a:shade val="85000"/>
          </a:srgbClr>
        </a:solidFill>
        <a:ln w="6350" cap="sq" cmpd="sng">
          <a:solidFill>
            <a:schemeClr val="tx1"/>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5281/zenodo.59078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G32"/>
  <sheetViews>
    <sheetView workbookViewId="0">
      <selection activeCell="C29" sqref="C29"/>
    </sheetView>
  </sheetViews>
  <sheetFormatPr baseColWidth="10" defaultRowHeight="16" x14ac:dyDescent="0.2"/>
  <cols>
    <col min="2" max="2" width="15.6640625" customWidth="1"/>
    <col min="5" max="5" width="15.83203125" customWidth="1"/>
    <col min="6" max="6" width="14.5" customWidth="1"/>
    <col min="8" max="8" width="12.83203125" bestFit="1" customWidth="1"/>
  </cols>
  <sheetData>
    <row r="3" spans="2:6" ht="17" thickBot="1" x14ac:dyDescent="0.25">
      <c r="B3" s="1" t="s">
        <v>17</v>
      </c>
    </row>
    <row r="4" spans="2:6" ht="17" thickTop="1" x14ac:dyDescent="0.2">
      <c r="B4" s="3" t="s">
        <v>16</v>
      </c>
      <c r="C4" s="4">
        <v>-9.9</v>
      </c>
    </row>
    <row r="5" spans="2:6" x14ac:dyDescent="0.2">
      <c r="B5" s="5" t="s">
        <v>18</v>
      </c>
      <c r="C5" s="6">
        <v>1700</v>
      </c>
    </row>
    <row r="6" spans="2:6" ht="17" thickBot="1" x14ac:dyDescent="0.25">
      <c r="B6" s="7" t="s">
        <v>22</v>
      </c>
      <c r="C6" s="2">
        <v>1</v>
      </c>
    </row>
    <row r="7" spans="2:6" ht="17" thickTop="1" x14ac:dyDescent="0.2"/>
    <row r="9" spans="2:6" x14ac:dyDescent="0.2">
      <c r="B9" s="1" t="s">
        <v>19</v>
      </c>
    </row>
    <row r="10" spans="2:6" x14ac:dyDescent="0.2">
      <c r="B10" s="1" t="s">
        <v>20</v>
      </c>
      <c r="C10">
        <f>C5+273.15</f>
        <v>1973.15</v>
      </c>
    </row>
    <row r="11" spans="2:6" ht="17" thickBot="1" x14ac:dyDescent="0.25"/>
    <row r="12" spans="2:6" x14ac:dyDescent="0.2">
      <c r="B12" s="12" t="s">
        <v>21</v>
      </c>
      <c r="C12" s="13"/>
      <c r="D12" s="13"/>
      <c r="E12" s="14" t="s">
        <v>23</v>
      </c>
      <c r="F12" s="15"/>
    </row>
    <row r="13" spans="2:6" x14ac:dyDescent="0.2">
      <c r="B13" s="16" t="s">
        <v>0</v>
      </c>
      <c r="C13" s="1" t="s">
        <v>16</v>
      </c>
      <c r="E13" s="8" t="s">
        <v>0</v>
      </c>
      <c r="F13" s="17" t="s">
        <v>24</v>
      </c>
    </row>
    <row r="14" spans="2:6" x14ac:dyDescent="0.2">
      <c r="B14" s="18" t="s">
        <v>4</v>
      </c>
      <c r="C14">
        <f>('Equilibrium Parameters'!B3/'Translate from logfO2 value'!$C$10)+'Equilibrium Parameters'!C3+(('Equilibrium Parameters'!D3*('Translate from logfO2 value'!$C$6-1))/'Translate from logfO2 value'!$C$10)</f>
        <v>-7.5271258393938627</v>
      </c>
      <c r="E14" t="s">
        <v>4</v>
      </c>
      <c r="F14" s="19">
        <f>$C$4-C14</f>
        <v>-2.3728741606061377</v>
      </c>
    </row>
    <row r="15" spans="2:6" x14ac:dyDescent="0.2">
      <c r="B15" s="18" t="s">
        <v>5</v>
      </c>
      <c r="C15">
        <f>('Equilibrium Parameters'!B4/'Translate from logfO2 value'!$C$10)+'Equilibrium Parameters'!C4+(('Equilibrium Parameters'!D4*('Translate from logfO2 value'!$C$6-1))/'Translate from logfO2 value'!$C$10)</f>
        <v>-7.4692548463117339</v>
      </c>
      <c r="E15" t="s">
        <v>5</v>
      </c>
      <c r="F15" s="19">
        <f t="shared" ref="F15" si="0">$C$4-C15</f>
        <v>-2.4307451536882665</v>
      </c>
    </row>
    <row r="16" spans="2:6" x14ac:dyDescent="0.2">
      <c r="B16" s="18" t="s">
        <v>6</v>
      </c>
      <c r="C16">
        <f>('Equilibrium Parameters'!B5/'Translate from logfO2 value'!$C$10)+'Equilibrium Parameters'!C5+(('Equilibrium Parameters'!D5*('Translate from logfO2 value'!$C$6-1))/'Translate from logfO2 value'!$C$10)</f>
        <v>-7.2295308010034702</v>
      </c>
      <c r="E16" t="s">
        <v>6</v>
      </c>
      <c r="F16" s="19">
        <f t="shared" ref="F16:F32" si="1">$C$4-C16</f>
        <v>-2.6704691989965301</v>
      </c>
    </row>
    <row r="17" spans="2:7" x14ac:dyDescent="0.2">
      <c r="B17" s="18" t="s">
        <v>29</v>
      </c>
      <c r="C17">
        <f>(6.54106+0.0012324*(C6/10000)) + (-28163.6+546.32*(C6/10000)-1.13412*(C6/10000)^2+0.0019274*(C6/10000)^3)/(C5+273.15)</f>
        <v>-7.7323328615869711</v>
      </c>
      <c r="E17" t="s">
        <v>29</v>
      </c>
      <c r="F17" s="19">
        <f t="shared" si="1"/>
        <v>-2.1676671384130293</v>
      </c>
      <c r="G17" s="25" t="s">
        <v>54</v>
      </c>
    </row>
    <row r="18" spans="2:7" x14ac:dyDescent="0.2">
      <c r="B18" s="18" t="s">
        <v>7</v>
      </c>
      <c r="C18">
        <f>('Equilibrium Parameters'!B7/'Translate from logfO2 value'!$C$10)+'Equilibrium Parameters'!C7+(('Equilibrium Parameters'!D7*('Translate from logfO2 value'!$C$6-1))/'Translate from logfO2 value'!$C$10)</f>
        <v>-3.6147136304893195</v>
      </c>
      <c r="E18" t="s">
        <v>7</v>
      </c>
      <c r="F18" s="19">
        <f t="shared" si="1"/>
        <v>-6.2852863695106809</v>
      </c>
    </row>
    <row r="19" spans="2:7" x14ac:dyDescent="0.2">
      <c r="B19" s="18" t="s">
        <v>8</v>
      </c>
      <c r="C19">
        <f>('Equilibrium Parameters'!B8/'Translate from logfO2 value'!$C$10)+'Equilibrium Parameters'!C8+(('Equilibrium Parameters'!D8*('Translate from logfO2 value'!$C$6-1))/'Translate from logfO2 value'!$C$10)</f>
        <v>-6.4105062970377293</v>
      </c>
      <c r="E19" t="s">
        <v>8</v>
      </c>
      <c r="F19" s="19">
        <f t="shared" si="1"/>
        <v>-3.489493702962271</v>
      </c>
    </row>
    <row r="20" spans="2:7" x14ac:dyDescent="0.2">
      <c r="B20" s="18" t="s">
        <v>9</v>
      </c>
      <c r="C20">
        <f>('Equilibrium Parameters'!B9/'Translate from logfO2 value'!$C$10)+'Equilibrium Parameters'!C9+(('Equilibrium Parameters'!D9*('Translate from logfO2 value'!$C$6-1))/'Translate from logfO2 value'!$C$10)</f>
        <v>-5.036855155462078</v>
      </c>
      <c r="E20" t="s">
        <v>9</v>
      </c>
      <c r="F20" s="19">
        <f t="shared" si="1"/>
        <v>-4.8631448445379224</v>
      </c>
    </row>
    <row r="21" spans="2:7" x14ac:dyDescent="0.2">
      <c r="B21" s="18" t="s">
        <v>10</v>
      </c>
      <c r="C21">
        <f>('Equilibrium Parameters'!B10/'Translate from logfO2 value'!$C$10)+'Equilibrium Parameters'!C10+(('Equilibrium Parameters'!D10*('Translate from logfO2 value'!$C$6-1))/'Translate from logfO2 value'!$C$10)</f>
        <v>-3.0636476699693382</v>
      </c>
      <c r="E21" t="s">
        <v>10</v>
      </c>
      <c r="F21" s="19">
        <f t="shared" si="1"/>
        <v>-6.8363523300306621</v>
      </c>
    </row>
    <row r="22" spans="2:7" x14ac:dyDescent="0.2">
      <c r="B22" s="18" t="s">
        <v>11</v>
      </c>
      <c r="C22">
        <f>('Equilibrium Parameters'!B11/'Translate from logfO2 value'!$C$10)+'Equilibrium Parameters'!C11+(('Equilibrium Parameters'!D11*('Translate from logfO2 value'!$C$6-1))/'Translate from logfO2 value'!$C$10)</f>
        <v>-3.9839012492714687</v>
      </c>
      <c r="E22" t="s">
        <v>11</v>
      </c>
      <c r="F22" s="19">
        <f t="shared" si="1"/>
        <v>-5.9160987507285316</v>
      </c>
    </row>
    <row r="23" spans="2:7" x14ac:dyDescent="0.2">
      <c r="B23" s="18" t="s">
        <v>12</v>
      </c>
      <c r="C23">
        <f>('Equilibrium Parameters'!B12/'Translate from logfO2 value'!$C$10)+'Equilibrium Parameters'!C12+(('Equilibrium Parameters'!D12*('Translate from logfO2 value'!$C$6-1))/'Translate from logfO2 value'!$C$10)</f>
        <v>-3.2746197704178606</v>
      </c>
      <c r="E23" t="s">
        <v>12</v>
      </c>
      <c r="F23" s="19">
        <f t="shared" si="1"/>
        <v>-6.6253802295821398</v>
      </c>
    </row>
    <row r="24" spans="2:7" x14ac:dyDescent="0.2">
      <c r="B24" s="18" t="s">
        <v>13</v>
      </c>
      <c r="C24">
        <f>('Equilibrium Parameters'!B13/'Translate from logfO2 value'!$C$10)+'Equilibrium Parameters'!C13+(('Equilibrium Parameters'!D13*('Translate from logfO2 value'!$C$6-1))/'Translate from logfO2 value'!$C$10)</f>
        <v>1.4077690494893957</v>
      </c>
      <c r="E24" t="s">
        <v>13</v>
      </c>
      <c r="F24" s="19">
        <f t="shared" si="1"/>
        <v>-11.307769049489396</v>
      </c>
    </row>
    <row r="25" spans="2:7" x14ac:dyDescent="0.2">
      <c r="B25" s="18" t="s">
        <v>14</v>
      </c>
      <c r="C25">
        <f>('Equilibrium Parameters'!B14/'Translate from logfO2 value'!$C$10)+'Equilibrium Parameters'!C14+(('Equilibrium Parameters'!D14*('Translate from logfO2 value'!$C$6-1))/'Translate from logfO2 value'!$C$10)</f>
        <v>2.0487207004029102</v>
      </c>
      <c r="E25" t="s">
        <v>14</v>
      </c>
      <c r="F25" s="19">
        <f t="shared" si="1"/>
        <v>-11.948720700402911</v>
      </c>
    </row>
    <row r="26" spans="2:7" x14ac:dyDescent="0.2">
      <c r="B26" s="18" t="s">
        <v>15</v>
      </c>
      <c r="C26">
        <f>('Equilibrium Parameters'!B15/'Translate from logfO2 value'!$C$10)+'Equilibrium Parameters'!C15+(('Equilibrium Parameters'!D15*('Translate from logfO2 value'!$C$6-1))/'Translate from logfO2 value'!$C$10)</f>
        <v>1.5328371892658961</v>
      </c>
      <c r="E26" t="s">
        <v>15</v>
      </c>
      <c r="F26" s="19">
        <f t="shared" si="1"/>
        <v>-11.432837189265896</v>
      </c>
    </row>
    <row r="27" spans="2:7" x14ac:dyDescent="0.2">
      <c r="B27" s="18" t="s">
        <v>28</v>
      </c>
      <c r="C27">
        <f>(1/C10*0.4343*120*((0.00251*(C6/10000)^3-0.20044*(C6/10000)^2+10.32257*(C6/10000))-(0.00251*0.0001^3-0.20044*0.0001^2+10.32257*0.0001)))+(LOG(EXP((-911336+212.2423*C10-4.512*C10*LOG(C10))/(8.314*C10))))</f>
        <v>-13.816250373453505</v>
      </c>
      <c r="E27" t="s">
        <v>28</v>
      </c>
      <c r="F27" s="19">
        <f t="shared" si="1"/>
        <v>3.9162503734535044</v>
      </c>
    </row>
    <row r="28" spans="2:7" x14ac:dyDescent="0.2">
      <c r="B28" s="18" t="s">
        <v>33</v>
      </c>
      <c r="C28">
        <f>(-20586/C10) - 0.044 +LOG10(C6/10000) - 0.028 * ((C6/10000)-1)/C10</f>
        <v>-14.477049693535717</v>
      </c>
      <c r="E28" t="s">
        <v>33</v>
      </c>
      <c r="F28" s="19">
        <f t="shared" si="1"/>
        <v>4.5770496935357166</v>
      </c>
    </row>
    <row r="29" spans="2:7" x14ac:dyDescent="0.2">
      <c r="B29" s="18" t="s">
        <v>39</v>
      </c>
      <c r="C29">
        <f>(-451020+297.595*C10-14.6586*C10*LN(C10))/(8.31441*C10*LN(10))</f>
        <v>-2.2044885917095569</v>
      </c>
      <c r="E29" t="s">
        <v>39</v>
      </c>
      <c r="F29" s="19">
        <f t="shared" si="1"/>
        <v>-7.695511408290443</v>
      </c>
    </row>
    <row r="30" spans="2:7" x14ac:dyDescent="0.2">
      <c r="B30" s="18" t="s">
        <v>44</v>
      </c>
      <c r="C30">
        <f>LOG(EXP((-758585+349.718*C10-25.5216*C10*LN(C10)+0.00935*C10^2)/(8.314*C10)))</f>
        <v>-10.965966159078675</v>
      </c>
      <c r="E30" t="s">
        <v>44</v>
      </c>
      <c r="F30" s="19">
        <f t="shared" si="1"/>
        <v>1.0659661590786751</v>
      </c>
      <c r="G30" s="25" t="s">
        <v>53</v>
      </c>
    </row>
    <row r="31" spans="2:7" x14ac:dyDescent="0.2">
      <c r="B31" s="18" t="s">
        <v>47</v>
      </c>
      <c r="C31">
        <f>LOG(EXP((-580563+173*C10)/(8.314*C10)))</f>
        <v>-6.3327155358643328</v>
      </c>
      <c r="E31" t="s">
        <v>47</v>
      </c>
      <c r="F31" s="19">
        <f t="shared" si="1"/>
        <v>-3.5672844641356676</v>
      </c>
      <c r="G31" s="25" t="s">
        <v>53</v>
      </c>
    </row>
    <row r="32" spans="2:7" ht="17" thickBot="1" x14ac:dyDescent="0.25">
      <c r="B32" s="20" t="s">
        <v>50</v>
      </c>
      <c r="C32" s="21">
        <f>2*LOG(EXP((-376969-4.19123*C10+10.02409*C10*LN(C10))/(8.314*C10)))</f>
        <v>-12.451508207938426</v>
      </c>
      <c r="D32" s="21"/>
      <c r="E32" s="21" t="s">
        <v>50</v>
      </c>
      <c r="F32" s="22">
        <f t="shared" si="1"/>
        <v>2.5515082079384257</v>
      </c>
      <c r="G32" s="25" t="s">
        <v>53</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G34"/>
  <sheetViews>
    <sheetView workbookViewId="0">
      <selection activeCell="C32" sqref="C32"/>
    </sheetView>
  </sheetViews>
  <sheetFormatPr baseColWidth="10" defaultRowHeight="16" x14ac:dyDescent="0.2"/>
  <cols>
    <col min="1" max="1" width="10.83203125" customWidth="1"/>
    <col min="2" max="2" width="16" customWidth="1"/>
    <col min="5" max="5" width="15.83203125" customWidth="1"/>
    <col min="6" max="6" width="13.6640625" customWidth="1"/>
  </cols>
  <sheetData>
    <row r="3" spans="2:6" ht="17" thickBot="1" x14ac:dyDescent="0.25">
      <c r="B3" s="1" t="s">
        <v>17</v>
      </c>
    </row>
    <row r="4" spans="2:6" ht="17" thickTop="1" x14ac:dyDescent="0.2">
      <c r="B4" s="11" t="s">
        <v>25</v>
      </c>
      <c r="C4" s="4">
        <v>-5</v>
      </c>
    </row>
    <row r="5" spans="2:6" x14ac:dyDescent="0.2">
      <c r="B5" s="9" t="s">
        <v>18</v>
      </c>
      <c r="C5" s="6">
        <v>1400</v>
      </c>
    </row>
    <row r="6" spans="2:6" ht="17" thickBot="1" x14ac:dyDescent="0.25">
      <c r="B6" s="10" t="s">
        <v>22</v>
      </c>
      <c r="C6" s="2">
        <v>1</v>
      </c>
    </row>
    <row r="7" spans="2:6" ht="17" thickTop="1" x14ac:dyDescent="0.2"/>
    <row r="9" spans="2:6" ht="17" thickBot="1" x14ac:dyDescent="0.25">
      <c r="B9" s="1" t="s">
        <v>19</v>
      </c>
    </row>
    <row r="10" spans="2:6" x14ac:dyDescent="0.2">
      <c r="B10" s="23" t="s">
        <v>26</v>
      </c>
      <c r="C10" s="13">
        <f>C24+C4</f>
        <v>-11.264432208708124</v>
      </c>
      <c r="D10" s="13"/>
      <c r="E10" s="13"/>
      <c r="F10" s="15"/>
    </row>
    <row r="11" spans="2:6" x14ac:dyDescent="0.2">
      <c r="B11" s="18"/>
      <c r="F11" s="24"/>
    </row>
    <row r="12" spans="2:6" x14ac:dyDescent="0.2">
      <c r="B12" s="16" t="s">
        <v>20</v>
      </c>
      <c r="C12">
        <f>C5+273.15</f>
        <v>1673.15</v>
      </c>
      <c r="F12" s="24"/>
    </row>
    <row r="13" spans="2:6" x14ac:dyDescent="0.2">
      <c r="B13" s="18"/>
      <c r="F13" s="24"/>
    </row>
    <row r="14" spans="2:6" x14ac:dyDescent="0.2">
      <c r="B14" s="16" t="s">
        <v>21</v>
      </c>
      <c r="E14" s="1" t="s">
        <v>23</v>
      </c>
      <c r="F14" s="24"/>
    </row>
    <row r="15" spans="2:6" x14ac:dyDescent="0.2">
      <c r="B15" s="16" t="s">
        <v>0</v>
      </c>
      <c r="C15" s="1" t="s">
        <v>16</v>
      </c>
      <c r="E15" s="8" t="s">
        <v>0</v>
      </c>
      <c r="F15" s="17" t="s">
        <v>24</v>
      </c>
    </row>
    <row r="16" spans="2:6" x14ac:dyDescent="0.2">
      <c r="B16" s="18" t="s">
        <v>4</v>
      </c>
      <c r="C16">
        <f>('Equilibrium Parameters'!B3/$C$12)+'Equilibrium Parameters'!C3+(('Equilibrium Parameters'!D3*($C$6-1))/C$12)</f>
        <v>-10.201983294982517</v>
      </c>
      <c r="E16" t="s">
        <v>4</v>
      </c>
      <c r="F16" s="19">
        <f>$C$10-C16</f>
        <v>-1.062448913725607</v>
      </c>
    </row>
    <row r="17" spans="2:7" x14ac:dyDescent="0.2">
      <c r="B17" s="18" t="s">
        <v>5</v>
      </c>
      <c r="C17">
        <f>('Equilibrium Parameters'!B4/$C$12)+'Equilibrium Parameters'!C4+(('Equilibrium Parameters'!D4*($C$6-1))/C$12)</f>
        <v>-10.151845441233601</v>
      </c>
      <c r="E17" t="s">
        <v>5</v>
      </c>
      <c r="F17" s="19">
        <f t="shared" ref="F17:F32" si="0">$C$10-C17</f>
        <v>-1.1125867674745233</v>
      </c>
    </row>
    <row r="18" spans="2:7" x14ac:dyDescent="0.2">
      <c r="B18" s="18" t="s">
        <v>6</v>
      </c>
      <c r="C18">
        <f>('Equilibrium Parameters'!B5/$C$12)+'Equilibrium Parameters'!C5+(('Equilibrium Parameters'!D5*($C$6-1))/C$12)</f>
        <v>-9.7274892866748335</v>
      </c>
      <c r="E18" t="s">
        <v>6</v>
      </c>
      <c r="F18" s="19">
        <f t="shared" si="0"/>
        <v>-1.5369429220332904</v>
      </c>
    </row>
    <row r="19" spans="2:7" x14ac:dyDescent="0.2">
      <c r="B19" s="18" t="s">
        <v>29</v>
      </c>
      <c r="C19">
        <f>(6.54106+0.0012324*(C6/10000)) + (-28163.6+546.32*(C6/10000)-1.13412*(C6/10000)^2+0.0019274*(C6/10000)^3)/(C5+273.15)</f>
        <v>-10.29158809599398</v>
      </c>
      <c r="E19" t="s">
        <v>29</v>
      </c>
      <c r="F19" s="19">
        <f>$C$10-C19</f>
        <v>-0.97284411271414406</v>
      </c>
      <c r="G19" s="25" t="s">
        <v>54</v>
      </c>
    </row>
    <row r="20" spans="2:7" x14ac:dyDescent="0.2">
      <c r="B20" s="18" t="s">
        <v>7</v>
      </c>
      <c r="C20">
        <f>('Equilibrium Parameters'!B7/$C$12)+'Equilibrium Parameters'!C7+(('Equilibrium Parameters'!D7*($C$6-1))/C$12)</f>
        <v>-6.5959251710844811</v>
      </c>
      <c r="E20" t="s">
        <v>7</v>
      </c>
      <c r="F20" s="19">
        <f t="shared" si="0"/>
        <v>-4.6685070376236428</v>
      </c>
    </row>
    <row r="21" spans="2:7" x14ac:dyDescent="0.2">
      <c r="B21" s="18" t="s">
        <v>8</v>
      </c>
      <c r="C21">
        <f>('Equilibrium Parameters'!B8/$C$12)+'Equilibrium Parameters'!C8+(('Equilibrium Parameters'!D8*($C$6-1))/C$12)</f>
        <v>-9.0176556196395996</v>
      </c>
      <c r="E21" t="s">
        <v>8</v>
      </c>
      <c r="F21" s="19">
        <f t="shared" si="0"/>
        <v>-2.2467765890685243</v>
      </c>
    </row>
    <row r="22" spans="2:7" x14ac:dyDescent="0.2">
      <c r="B22" s="18" t="s">
        <v>9</v>
      </c>
      <c r="C22">
        <f>('Equilibrium Parameters'!B9/$C$12)+'Equilibrium Parameters'!C9+(('Equilibrium Parameters'!D9*($C$6-1))/C$12)</f>
        <v>-7.2479877775453474</v>
      </c>
      <c r="E22" t="s">
        <v>9</v>
      </c>
      <c r="F22" s="19">
        <f t="shared" si="0"/>
        <v>-4.0164444311627765</v>
      </c>
    </row>
    <row r="23" spans="2:7" x14ac:dyDescent="0.2">
      <c r="B23" s="18" t="s">
        <v>10</v>
      </c>
      <c r="C23">
        <f>('Equilibrium Parameters'!B10/$C$12)+'Equilibrium Parameters'!C10+(('Equilibrium Parameters'!D10*($C$6-1))/C$12)</f>
        <v>-5.4676725936108532</v>
      </c>
      <c r="E23" t="s">
        <v>10</v>
      </c>
      <c r="F23" s="19">
        <f t="shared" si="0"/>
        <v>-5.7967596150972707</v>
      </c>
    </row>
    <row r="24" spans="2:7" x14ac:dyDescent="0.2">
      <c r="B24" s="18" t="s">
        <v>11</v>
      </c>
      <c r="C24">
        <f>('Equilibrium Parameters'!B11/$C$12)+'Equilibrium Parameters'!C11+(('Equilibrium Parameters'!D11*($C$6-1))/C$12)</f>
        <v>-6.2644322087081239</v>
      </c>
      <c r="E24" t="s">
        <v>11</v>
      </c>
      <c r="F24" s="19">
        <f t="shared" si="0"/>
        <v>-5</v>
      </c>
    </row>
    <row r="25" spans="2:7" x14ac:dyDescent="0.2">
      <c r="B25" s="18" t="s">
        <v>12</v>
      </c>
      <c r="C25">
        <f>('Equilibrium Parameters'!B12/$C$12)+'Equilibrium Parameters'!C12+(('Equilibrium Parameters'!D12*($C$6-1))/C$12)</f>
        <v>-5.5400388488778649</v>
      </c>
      <c r="E25" t="s">
        <v>12</v>
      </c>
      <c r="F25" s="19">
        <f t="shared" si="0"/>
        <v>-5.724393359830259</v>
      </c>
    </row>
    <row r="26" spans="2:7" x14ac:dyDescent="0.2">
      <c r="B26" s="18" t="s">
        <v>13</v>
      </c>
      <c r="C26">
        <f>('Equilibrium Parameters'!B13/$C$12)+'Equilibrium Parameters'!C13+(('Equilibrium Parameters'!D13*($C$6-1))/C$12)</f>
        <v>-0.90921943639243175</v>
      </c>
      <c r="E26" t="s">
        <v>13</v>
      </c>
      <c r="F26" s="19">
        <f t="shared" si="0"/>
        <v>-10.355212772315692</v>
      </c>
    </row>
    <row r="27" spans="2:7" x14ac:dyDescent="0.2">
      <c r="B27" s="18" t="s">
        <v>14</v>
      </c>
      <c r="C27">
        <f>('Equilibrium Parameters'!B14/$C$12)+'Equilibrium Parameters'!C14+(('Equilibrium Parameters'!D14*($C$6-1))/C$12)</f>
        <v>-0.35505887099184008</v>
      </c>
      <c r="E27" t="s">
        <v>14</v>
      </c>
      <c r="F27" s="19">
        <f t="shared" si="0"/>
        <v>-10.909373337716284</v>
      </c>
    </row>
    <row r="28" spans="2:7" x14ac:dyDescent="0.2">
      <c r="B28" s="18" t="s">
        <v>15</v>
      </c>
      <c r="C28">
        <f>('Equilibrium Parameters'!B15/$C$12)+'Equilibrium Parameters'!C15+(('Equilibrium Parameters'!D15*($C$6-1))/C$12)</f>
        <v>-0.80260723784478216</v>
      </c>
      <c r="E28" t="s">
        <v>15</v>
      </c>
      <c r="F28" s="19">
        <f t="shared" si="0"/>
        <v>-10.461824970863342</v>
      </c>
    </row>
    <row r="29" spans="2:7" x14ac:dyDescent="0.2">
      <c r="B29" s="18" t="s">
        <v>28</v>
      </c>
      <c r="C29">
        <f>(1/C12*0.4343*120*((0.00251*(C6/10000)^3-0.20044*(C6/10000)^2+10.32257*(C6/10000))-(0.00251*0.0001^3-0.20044*0.0001^2+10.32257*0.0001)))+(LOG(EXP((-911336+212.2423*C12-4.512*C12*LOG(C12))/(8.314*C12))))</f>
        <v>-18.125295002865954</v>
      </c>
      <c r="E29" t="s">
        <v>28</v>
      </c>
      <c r="F29" s="19">
        <f t="shared" si="0"/>
        <v>6.8608627941578302</v>
      </c>
    </row>
    <row r="30" spans="2:7" x14ac:dyDescent="0.2">
      <c r="B30" s="18" t="s">
        <v>33</v>
      </c>
      <c r="C30">
        <f>(-20586/C12) - 0.044 +LOG10(C6/10000) - 0.028 * ((C6/10000)-1)/C12</f>
        <v>-16.347721724172963</v>
      </c>
      <c r="E30" t="s">
        <v>33</v>
      </c>
      <c r="F30" s="19">
        <f t="shared" si="0"/>
        <v>5.0832895154648394</v>
      </c>
    </row>
    <row r="31" spans="2:7" x14ac:dyDescent="0.2">
      <c r="B31" s="18" t="s">
        <v>39</v>
      </c>
      <c r="C31">
        <f>(-451020+297.595*C12-14.6586*C12*LN(C12))/(8.31441*C12*LN(10))</f>
        <v>-4.2190051316565533</v>
      </c>
      <c r="E31" t="s">
        <v>39</v>
      </c>
      <c r="F31" s="19">
        <f t="shared" si="0"/>
        <v>-7.0454270770515706</v>
      </c>
    </row>
    <row r="32" spans="2:7" x14ac:dyDescent="0.2">
      <c r="B32" s="18" t="s">
        <v>44</v>
      </c>
      <c r="C32">
        <f>LOG(EXP((-758585+349.718*C12-25.5216*C12*LN(C12)+0.00935*C12^2)/(8.314*C12)))</f>
        <v>-14.493468913562438</v>
      </c>
      <c r="E32" t="s">
        <v>44</v>
      </c>
      <c r="F32" s="19">
        <f t="shared" si="0"/>
        <v>3.2290367048543143</v>
      </c>
      <c r="G32" s="25" t="s">
        <v>53</v>
      </c>
    </row>
    <row r="33" spans="2:7" x14ac:dyDescent="0.2">
      <c r="B33" s="18" t="s">
        <v>47</v>
      </c>
      <c r="C33">
        <f>LOG(EXP((-580563+173*C12)/(8.314*C12)))</f>
        <v>-9.0885296527958683</v>
      </c>
      <c r="E33" t="s">
        <v>47</v>
      </c>
      <c r="F33" s="19">
        <f>$C$10-C33</f>
        <v>-2.1759025559122556</v>
      </c>
      <c r="G33" s="25" t="s">
        <v>53</v>
      </c>
    </row>
    <row r="34" spans="2:7" ht="17" thickBot="1" x14ac:dyDescent="0.25">
      <c r="B34" s="20" t="s">
        <v>50</v>
      </c>
      <c r="C34" s="21">
        <f>2*LOG(EXP((-376969-4.19123*C12+10.02409*C12*LN(C12))/(8.314*C12)))</f>
        <v>-16.203013424383567</v>
      </c>
      <c r="D34" s="21"/>
      <c r="E34" s="21" t="s">
        <v>50</v>
      </c>
      <c r="F34" s="22">
        <f>$C$10-C34</f>
        <v>4.9385812156754429</v>
      </c>
      <c r="G34" s="25" t="s">
        <v>53</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34"/>
  <sheetViews>
    <sheetView workbookViewId="0">
      <selection activeCell="C32" sqref="C32"/>
    </sheetView>
  </sheetViews>
  <sheetFormatPr baseColWidth="10" defaultRowHeight="16" x14ac:dyDescent="0.2"/>
  <cols>
    <col min="1" max="1" width="10.83203125" customWidth="1"/>
    <col min="2" max="2" width="16.1640625" customWidth="1"/>
    <col min="5" max="5" width="15.33203125" customWidth="1"/>
    <col min="6" max="6" width="13.6640625" customWidth="1"/>
  </cols>
  <sheetData>
    <row r="3" spans="2:6" ht="17" thickBot="1" x14ac:dyDescent="0.25">
      <c r="B3" s="1" t="s">
        <v>17</v>
      </c>
    </row>
    <row r="4" spans="2:6" ht="17" thickTop="1" x14ac:dyDescent="0.2">
      <c r="B4" s="11" t="s">
        <v>27</v>
      </c>
      <c r="C4" s="4">
        <v>0</v>
      </c>
    </row>
    <row r="5" spans="2:6" x14ac:dyDescent="0.2">
      <c r="B5" s="9" t="s">
        <v>18</v>
      </c>
      <c r="C5" s="6">
        <v>750</v>
      </c>
    </row>
    <row r="6" spans="2:6" ht="17" thickBot="1" x14ac:dyDescent="0.25">
      <c r="B6" s="10" t="s">
        <v>22</v>
      </c>
      <c r="C6" s="2">
        <v>20812.717000000001</v>
      </c>
    </row>
    <row r="7" spans="2:6" ht="17" thickTop="1" x14ac:dyDescent="0.2"/>
    <row r="9" spans="2:6" ht="17" thickBot="1" x14ac:dyDescent="0.25">
      <c r="B9" s="1" t="s">
        <v>19</v>
      </c>
    </row>
    <row r="10" spans="2:6" x14ac:dyDescent="0.2">
      <c r="B10" s="23" t="s">
        <v>26</v>
      </c>
      <c r="C10" s="13">
        <f>C25+C4</f>
        <v>-14.070250713971559</v>
      </c>
      <c r="D10" s="13"/>
      <c r="E10" s="13"/>
      <c r="F10" s="15"/>
    </row>
    <row r="11" spans="2:6" x14ac:dyDescent="0.2">
      <c r="B11" s="18"/>
      <c r="F11" s="24"/>
    </row>
    <row r="12" spans="2:6" x14ac:dyDescent="0.2">
      <c r="B12" s="16" t="s">
        <v>20</v>
      </c>
      <c r="C12">
        <f>C5+273.15</f>
        <v>1023.15</v>
      </c>
      <c r="F12" s="24"/>
    </row>
    <row r="13" spans="2:6" x14ac:dyDescent="0.2">
      <c r="B13" s="18"/>
      <c r="F13" s="24"/>
    </row>
    <row r="14" spans="2:6" x14ac:dyDescent="0.2">
      <c r="B14" s="16" t="s">
        <v>21</v>
      </c>
      <c r="E14" s="1" t="s">
        <v>23</v>
      </c>
      <c r="F14" s="24"/>
    </row>
    <row r="15" spans="2:6" x14ac:dyDescent="0.2">
      <c r="B15" s="16" t="s">
        <v>0</v>
      </c>
      <c r="C15" s="1" t="s">
        <v>16</v>
      </c>
      <c r="E15" s="8" t="s">
        <v>0</v>
      </c>
      <c r="F15" s="17" t="s">
        <v>24</v>
      </c>
    </row>
    <row r="16" spans="2:6" x14ac:dyDescent="0.2">
      <c r="B16" s="18" t="s">
        <v>4</v>
      </c>
      <c r="C16">
        <f>('Equilibrium Parameters'!B3/$C$12)+'Equilibrium Parameters'!C3+(('Equilibrium Parameters'!D3*($C$6-1))/C$12)</f>
        <v>-20.483685483066999</v>
      </c>
      <c r="E16" t="s">
        <v>4</v>
      </c>
      <c r="F16" s="19">
        <f>$C$10-C16</f>
        <v>6.4134347690954403</v>
      </c>
    </row>
    <row r="17" spans="2:7" x14ac:dyDescent="0.2">
      <c r="B17" s="18" t="s">
        <v>5</v>
      </c>
      <c r="C17">
        <f>('Equilibrium Parameters'!B4/$C$12)+'Equilibrium Parameters'!C4+(('Equilibrium Parameters'!D4*($C$6-1))/C$12)</f>
        <v>-20.34381503200899</v>
      </c>
      <c r="E17" t="s">
        <v>5</v>
      </c>
      <c r="F17" s="19">
        <f t="shared" ref="F17:F32" si="0">$C$10-C17</f>
        <v>6.2735643180374314</v>
      </c>
    </row>
    <row r="18" spans="2:7" x14ac:dyDescent="0.2">
      <c r="B18" s="18" t="s">
        <v>6</v>
      </c>
      <c r="C18">
        <f>('Equilibrium Parameters'!B5/$C$12)+'Equilibrium Parameters'!C5+(('Equilibrium Parameters'!D5*($C$6-1))/C$12)</f>
        <v>-19.046282817768656</v>
      </c>
      <c r="E18" t="s">
        <v>6</v>
      </c>
      <c r="F18" s="19">
        <f t="shared" si="0"/>
        <v>4.9760321037970972</v>
      </c>
    </row>
    <row r="19" spans="2:7" x14ac:dyDescent="0.2">
      <c r="B19" s="18" t="s">
        <v>29</v>
      </c>
      <c r="C19">
        <f>(6.54106+0.0012324*(C6/10000)) + (-28163.6+546.32*(C6/10000)-1.13412*(C6/10000)^2+0.0019274*(C6/10000)^3)/(C5+273.15)</f>
        <v>-19.876210770538453</v>
      </c>
      <c r="E19" t="s">
        <v>29</v>
      </c>
      <c r="F19" s="19">
        <f>$C$10-C19</f>
        <v>5.8059600565668941</v>
      </c>
      <c r="G19" s="25" t="s">
        <v>54</v>
      </c>
    </row>
    <row r="20" spans="2:7" x14ac:dyDescent="0.2">
      <c r="B20" s="18" t="s">
        <v>7</v>
      </c>
      <c r="C20">
        <f>('Equilibrium Parameters'!B7/$C$12)+'Equilibrium Parameters'!C7+(('Equilibrium Parameters'!D7*($C$6-1))/C$12)</f>
        <v>-17.364413516102232</v>
      </c>
      <c r="E20" t="s">
        <v>7</v>
      </c>
      <c r="F20" s="19">
        <f t="shared" si="0"/>
        <v>3.294162802130673</v>
      </c>
    </row>
    <row r="21" spans="2:7" x14ac:dyDescent="0.2">
      <c r="B21" s="18" t="s">
        <v>8</v>
      </c>
      <c r="C21">
        <f>('Equilibrium Parameters'!B8/$C$12)+'Equilibrium Parameters'!C8+(('Equilibrium Parameters'!D8*($C$6-1))/C$12)</f>
        <v>-18.772354344915207</v>
      </c>
      <c r="E21" t="s">
        <v>8</v>
      </c>
      <c r="F21" s="19">
        <f t="shared" si="0"/>
        <v>4.7021036309436486</v>
      </c>
    </row>
    <row r="22" spans="2:7" x14ac:dyDescent="0.2">
      <c r="B22" s="18" t="s">
        <v>9</v>
      </c>
      <c r="C22">
        <f>('Equilibrium Parameters'!B9/$C$12)+'Equilibrium Parameters'!C9+(('Equilibrium Parameters'!D9*($C$6-1))/C$12)</f>
        <v>-15.429322646728243</v>
      </c>
      <c r="E22" t="s">
        <v>9</v>
      </c>
      <c r="F22" s="19">
        <f t="shared" si="0"/>
        <v>1.3590719327566845</v>
      </c>
    </row>
    <row r="23" spans="2:7" x14ac:dyDescent="0.2">
      <c r="B23" s="18" t="s">
        <v>10</v>
      </c>
      <c r="C23">
        <f>('Equilibrium Parameters'!B10/$C$12)+'Equilibrium Parameters'!C10+(('Equilibrium Parameters'!D10*($C$6-1))/C$12)</f>
        <v>-13.641360930459854</v>
      </c>
      <c r="E23" t="s">
        <v>10</v>
      </c>
      <c r="F23" s="19">
        <f t="shared" si="0"/>
        <v>-0.42888978351170515</v>
      </c>
    </row>
    <row r="24" spans="2:7" x14ac:dyDescent="0.2">
      <c r="B24" s="18" t="s">
        <v>11</v>
      </c>
      <c r="C24">
        <f>('Equilibrium Parameters'!B11/$C$12)+'Equilibrium Parameters'!C11+(('Equilibrium Parameters'!D11*($C$6-1))/C$12)</f>
        <v>-13.55597505742071</v>
      </c>
      <c r="E24" t="s">
        <v>11</v>
      </c>
      <c r="F24" s="19">
        <f t="shared" si="0"/>
        <v>-0.51427565655084884</v>
      </c>
    </row>
    <row r="25" spans="2:7" x14ac:dyDescent="0.2">
      <c r="B25" s="18" t="s">
        <v>12</v>
      </c>
      <c r="C25">
        <f>('Equilibrium Parameters'!B12/$C$12)+'Equilibrium Parameters'!C12+(('Equilibrium Parameters'!D12*($C$6-1))/C$12)</f>
        <v>-14.070250713971559</v>
      </c>
      <c r="E25" t="s">
        <v>12</v>
      </c>
      <c r="F25" s="19">
        <f t="shared" si="0"/>
        <v>0</v>
      </c>
    </row>
    <row r="26" spans="2:7" x14ac:dyDescent="0.2">
      <c r="B26" s="18" t="s">
        <v>13</v>
      </c>
      <c r="C26">
        <f>('Equilibrium Parameters'!B13/$C$12)+'Equilibrium Parameters'!C13+(('Equilibrium Parameters'!D13*($C$6-1))/C$12)</f>
        <v>-10.204112668719153</v>
      </c>
      <c r="E26" t="s">
        <v>13</v>
      </c>
      <c r="F26" s="19">
        <f t="shared" si="0"/>
        <v>-3.8661380452524057</v>
      </c>
    </row>
    <row r="27" spans="2:7" x14ac:dyDescent="0.2">
      <c r="B27" s="18" t="s">
        <v>14</v>
      </c>
      <c r="C27">
        <f>('Equilibrium Parameters'!B14/$C$12)+'Equilibrium Parameters'!C14+(('Equilibrium Parameters'!D14*($C$6-1))/C$12)</f>
        <v>-10.01260238185994</v>
      </c>
      <c r="E27" t="s">
        <v>14</v>
      </c>
      <c r="F27" s="19">
        <f t="shared" si="0"/>
        <v>-4.0576483321116186</v>
      </c>
    </row>
    <row r="28" spans="2:7" x14ac:dyDescent="0.2">
      <c r="B28" s="18" t="s">
        <v>15</v>
      </c>
      <c r="C28">
        <f>('Equilibrium Parameters'!B15/$C$12)+'Equilibrium Parameters'!C15+(('Equilibrium Parameters'!D15*($C$6-1))/C$12)</f>
        <v>-10.174617286810339</v>
      </c>
      <c r="E28" t="s">
        <v>15</v>
      </c>
      <c r="F28" s="19">
        <f t="shared" si="0"/>
        <v>-3.8956334271612203</v>
      </c>
    </row>
    <row r="29" spans="2:7" x14ac:dyDescent="0.2">
      <c r="B29" s="18" t="s">
        <v>28</v>
      </c>
      <c r="C29">
        <f>(1/C12*0.4343*120*((0.00251*(C6/10000)^3-0.20044*(C6/10000)^2+10.32257*(C6/10000))-(0.00251*0.0001^3-0.20044*0.0001^2+10.32257*0.0001)))+(LOG(EXP((-911336+212.2423*C12-4.512*C12*LOG(C12))/(8.314*C12))))</f>
        <v>-35.099317187436306</v>
      </c>
      <c r="E29" t="s">
        <v>28</v>
      </c>
      <c r="F29" s="19">
        <f t="shared" si="0"/>
        <v>21.029066473464745</v>
      </c>
    </row>
    <row r="30" spans="2:7" x14ac:dyDescent="0.2">
      <c r="B30" s="18" t="s">
        <v>33</v>
      </c>
      <c r="C30">
        <f>(-20586/C12) - 0.044 +LOG10(C6/10000) - 0.028 * ((C6/10000)-1)/C12</f>
        <v>-19.84591778860214</v>
      </c>
      <c r="E30" t="s">
        <v>33</v>
      </c>
      <c r="F30" s="19">
        <f t="shared" si="0"/>
        <v>5.7756670746305812</v>
      </c>
    </row>
    <row r="31" spans="2:7" x14ac:dyDescent="0.2">
      <c r="B31" s="18" t="s">
        <v>39</v>
      </c>
      <c r="C31">
        <f>(-451020+297.595*C12-14.6586*C12*LN(C12))/(8.31441*C12*LN(10))</f>
        <v>-12.787583051012373</v>
      </c>
      <c r="E31" t="s">
        <v>39</v>
      </c>
      <c r="F31" s="19">
        <f t="shared" si="0"/>
        <v>-1.2826676629591862</v>
      </c>
    </row>
    <row r="32" spans="2:7" x14ac:dyDescent="0.2">
      <c r="B32" s="18" t="s">
        <v>44</v>
      </c>
      <c r="C32">
        <f>LOG(EXP((-758585+349.718*C12-25.5216*C12*LN(C12)+0.00935*C12^2)/(8.314*C12)))</f>
        <v>-29.201143258581439</v>
      </c>
      <c r="E32" t="s">
        <v>44</v>
      </c>
      <c r="F32" s="19">
        <f t="shared" si="0"/>
        <v>15.13089254460988</v>
      </c>
      <c r="G32" s="25" t="s">
        <v>53</v>
      </c>
    </row>
    <row r="33" spans="2:7" x14ac:dyDescent="0.2">
      <c r="B33" s="18" t="s">
        <v>47</v>
      </c>
      <c r="C33">
        <f>LOG(EXP((-580563+173*C12)/(8.314*C12)))</f>
        <v>-20.603499781435357</v>
      </c>
      <c r="E33" t="s">
        <v>47</v>
      </c>
      <c r="F33" s="19">
        <f>$C$10-C33</f>
        <v>6.5332490674637977</v>
      </c>
      <c r="G33" s="25" t="s">
        <v>53</v>
      </c>
    </row>
    <row r="34" spans="2:7" ht="17" thickBot="1" x14ac:dyDescent="0.25">
      <c r="B34" s="20" t="s">
        <v>50</v>
      </c>
      <c r="C34" s="21">
        <f>2*LOG(EXP((-376969-4.19123*C12+10.02409*C12*LN(C12))/(8.314*C12)))</f>
        <v>-31.67178749226445</v>
      </c>
      <c r="D34" s="21"/>
      <c r="E34" s="21" t="s">
        <v>50</v>
      </c>
      <c r="F34" s="22">
        <f>$C$10-C34</f>
        <v>17.601536778292889</v>
      </c>
      <c r="G34" s="25" t="s">
        <v>53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C624F-AC70-574D-BDFD-667E01B5E37C}">
  <dimension ref="B3:G34"/>
  <sheetViews>
    <sheetView workbookViewId="0">
      <selection activeCell="C32" sqref="C32"/>
    </sheetView>
  </sheetViews>
  <sheetFormatPr baseColWidth="10" defaultRowHeight="16" x14ac:dyDescent="0.2"/>
  <cols>
    <col min="2" max="2" width="16" customWidth="1"/>
    <col min="5" max="5" width="15.83203125" customWidth="1"/>
    <col min="6" max="6" width="13.6640625" customWidth="1"/>
  </cols>
  <sheetData>
    <row r="3" spans="2:6" ht="17" thickBot="1" x14ac:dyDescent="0.25">
      <c r="B3" s="1" t="s">
        <v>17</v>
      </c>
    </row>
    <row r="4" spans="2:6" ht="17" thickTop="1" x14ac:dyDescent="0.2">
      <c r="B4" s="11" t="s">
        <v>46</v>
      </c>
      <c r="C4" s="4">
        <v>-5.05</v>
      </c>
    </row>
    <row r="5" spans="2:6" x14ac:dyDescent="0.2">
      <c r="B5" s="9" t="s">
        <v>18</v>
      </c>
      <c r="C5" s="6">
        <v>1750</v>
      </c>
    </row>
    <row r="6" spans="2:6" ht="17" thickBot="1" x14ac:dyDescent="0.25">
      <c r="B6" s="10" t="s">
        <v>22</v>
      </c>
      <c r="C6" s="2">
        <v>1</v>
      </c>
    </row>
    <row r="7" spans="2:6" ht="17" thickTop="1" x14ac:dyDescent="0.2"/>
    <row r="9" spans="2:6" ht="17" thickBot="1" x14ac:dyDescent="0.25">
      <c r="B9" s="1" t="s">
        <v>19</v>
      </c>
    </row>
    <row r="10" spans="2:6" x14ac:dyDescent="0.2">
      <c r="B10" s="23" t="s">
        <v>26</v>
      </c>
      <c r="C10" s="13">
        <f>C18+C4</f>
        <v>-11.93522783777772</v>
      </c>
      <c r="D10" s="13"/>
      <c r="E10" s="13"/>
      <c r="F10" s="15"/>
    </row>
    <row r="11" spans="2:6" x14ac:dyDescent="0.2">
      <c r="B11" s="18"/>
      <c r="F11" s="24"/>
    </row>
    <row r="12" spans="2:6" x14ac:dyDescent="0.2">
      <c r="B12" s="16" t="s">
        <v>20</v>
      </c>
      <c r="C12">
        <f>C5+273.15</f>
        <v>2023.15</v>
      </c>
      <c r="F12" s="24"/>
    </row>
    <row r="13" spans="2:6" x14ac:dyDescent="0.2">
      <c r="B13" s="18"/>
      <c r="F13" s="24"/>
    </row>
    <row r="14" spans="2:6" x14ac:dyDescent="0.2">
      <c r="B14" s="16" t="s">
        <v>21</v>
      </c>
      <c r="E14" s="1" t="s">
        <v>23</v>
      </c>
      <c r="F14" s="24"/>
    </row>
    <row r="15" spans="2:6" x14ac:dyDescent="0.2">
      <c r="B15" s="16" t="s">
        <v>0</v>
      </c>
      <c r="C15" s="1" t="s">
        <v>16</v>
      </c>
      <c r="E15" s="8" t="s">
        <v>0</v>
      </c>
      <c r="F15" s="17" t="s">
        <v>24</v>
      </c>
    </row>
    <row r="16" spans="2:6" x14ac:dyDescent="0.2">
      <c r="B16" s="18" t="s">
        <v>4</v>
      </c>
      <c r="C16">
        <f>('Equilibrium Parameters'!B3/$C$12)+'Equilibrium Parameters'!C3+(('Equilibrium Parameters'!D3*($C$6-1))/C$12)</f>
        <v>-7.1584402293453273</v>
      </c>
      <c r="E16" t="s">
        <v>4</v>
      </c>
      <c r="F16" s="19">
        <f>$C$10-C16</f>
        <v>-4.776787608432393</v>
      </c>
    </row>
    <row r="17" spans="2:7" x14ac:dyDescent="0.2">
      <c r="B17" s="18" t="s">
        <v>5</v>
      </c>
      <c r="C17">
        <f>('Equilibrium Parameters'!B4/$C$12)+'Equilibrium Parameters'!C4+(('Equilibrium Parameters'!D4*($C$6-1))/C$12)</f>
        <v>-7.0995033487383532</v>
      </c>
      <c r="E17" t="s">
        <v>5</v>
      </c>
      <c r="F17" s="19">
        <f t="shared" ref="F17:F32" si="0">$C$10-C17</f>
        <v>-4.8357244890393671</v>
      </c>
    </row>
    <row r="18" spans="2:7" x14ac:dyDescent="0.2">
      <c r="B18" s="18" t="s">
        <v>6</v>
      </c>
      <c r="C18">
        <f>('Equilibrium Parameters'!B5/$C$12)+'Equilibrium Parameters'!C5+(('Equilibrium Parameters'!D5*($C$6-1))/C$12)</f>
        <v>-6.8852278377777214</v>
      </c>
      <c r="E18" t="s">
        <v>6</v>
      </c>
      <c r="F18" s="19">
        <f t="shared" si="0"/>
        <v>-5.0499999999999989</v>
      </c>
    </row>
    <row r="19" spans="2:7" x14ac:dyDescent="0.2">
      <c r="B19" s="18" t="s">
        <v>29</v>
      </c>
      <c r="C19">
        <f>(6.54106+0.0012324*(C6/10000)) + (-28163.6+546.32*(C6/10000)-1.13412*(C6/10000)^2+0.0019274*(C6/10000)^3)/(C5+273.15)</f>
        <v>-7.3795811381649061</v>
      </c>
      <c r="E19" t="s">
        <v>29</v>
      </c>
      <c r="F19" s="19">
        <f>$C$10-C19</f>
        <v>-4.5556466996128142</v>
      </c>
      <c r="G19" s="25" t="s">
        <v>54</v>
      </c>
    </row>
    <row r="20" spans="2:7" x14ac:dyDescent="0.2">
      <c r="B20" s="18" t="s">
        <v>7</v>
      </c>
      <c r="C20">
        <f>('Equilibrium Parameters'!B7/$C$12)+'Equilibrium Parameters'!C7+(('Equilibrium Parameters'!D7*($C$6-1))/C$12)</f>
        <v>-3.2038020907990017</v>
      </c>
      <c r="E20" t="s">
        <v>7</v>
      </c>
      <c r="F20" s="19">
        <f t="shared" si="0"/>
        <v>-8.7314257469787186</v>
      </c>
    </row>
    <row r="21" spans="2:7" x14ac:dyDescent="0.2">
      <c r="B21" s="18" t="s">
        <v>8</v>
      </c>
      <c r="C21">
        <f>('Equilibrium Parameters'!B8/$C$12)+'Equilibrium Parameters'!C8+(('Equilibrium Parameters'!D8*($C$6-1))/C$12)</f>
        <v>-6.0511531522625592</v>
      </c>
      <c r="E21" t="s">
        <v>8</v>
      </c>
      <c r="F21" s="19">
        <f t="shared" si="0"/>
        <v>-5.8840746855151611</v>
      </c>
    </row>
    <row r="22" spans="2:7" x14ac:dyDescent="0.2">
      <c r="B22" s="18" t="s">
        <v>9</v>
      </c>
      <c r="C22">
        <f>('Equilibrium Parameters'!B9/$C$12)+'Equilibrium Parameters'!C9+(('Equilibrium Parameters'!D9*($C$6-1))/C$12)</f>
        <v>-4.7320864740627222</v>
      </c>
      <c r="E22" t="s">
        <v>9</v>
      </c>
      <c r="F22" s="19">
        <f t="shared" si="0"/>
        <v>-7.2031413637149981</v>
      </c>
    </row>
    <row r="23" spans="2:7" x14ac:dyDescent="0.2">
      <c r="B23" s="18" t="s">
        <v>10</v>
      </c>
      <c r="C23">
        <f>('Equilibrium Parameters'!B10/$C$12)+'Equilibrium Parameters'!C10+(('Equilibrium Parameters'!D10*($C$6-1))/C$12)</f>
        <v>-2.7322919210142604</v>
      </c>
      <c r="E23" t="s">
        <v>10</v>
      </c>
      <c r="F23" s="19">
        <f t="shared" si="0"/>
        <v>-9.2029359167634599</v>
      </c>
    </row>
    <row r="24" spans="2:7" x14ac:dyDescent="0.2">
      <c r="B24" s="18" t="s">
        <v>11</v>
      </c>
      <c r="C24">
        <f>('Equilibrium Parameters'!B11/$C$12)+'Equilibrium Parameters'!C11+(('Equilibrium Parameters'!D11*($C$6-1))/C$12)</f>
        <v>-3.6695671354076556</v>
      </c>
      <c r="E24" t="s">
        <v>11</v>
      </c>
      <c r="F24" s="19">
        <f t="shared" si="0"/>
        <v>-8.2656607023700648</v>
      </c>
    </row>
    <row r="25" spans="2:7" x14ac:dyDescent="0.2">
      <c r="B25" s="18" t="s">
        <v>12</v>
      </c>
      <c r="C25">
        <f>('Equilibrium Parameters'!B12/$C$12)+'Equilibrium Parameters'!C12+(('Equilibrium Parameters'!D12*($C$6-1))/C$12)</f>
        <v>-2.9623685836443165</v>
      </c>
      <c r="E25" t="s">
        <v>12</v>
      </c>
      <c r="F25" s="19">
        <f t="shared" si="0"/>
        <v>-8.9728592541334038</v>
      </c>
    </row>
    <row r="26" spans="2:7" x14ac:dyDescent="0.2">
      <c r="B26" s="18" t="s">
        <v>13</v>
      </c>
      <c r="C26">
        <f>('Equilibrium Parameters'!B13/$C$12)+'Equilibrium Parameters'!C13+(('Equilibrium Parameters'!D13*($C$6-1))/C$12)</f>
        <v>1.7271282406148831</v>
      </c>
      <c r="E26" t="s">
        <v>13</v>
      </c>
      <c r="F26" s="19">
        <f t="shared" si="0"/>
        <v>-13.662356078392603</v>
      </c>
    </row>
    <row r="27" spans="2:7" x14ac:dyDescent="0.2">
      <c r="B27" s="18" t="s">
        <v>14</v>
      </c>
      <c r="C27">
        <f>('Equilibrium Parameters'!B14/$C$12)+'Equilibrium Parameters'!C14+(('Equilibrium Parameters'!D14*($C$6-1))/C$12)</f>
        <v>2.3800426315399275</v>
      </c>
      <c r="E27" t="s">
        <v>14</v>
      </c>
      <c r="F27" s="19">
        <f t="shared" si="0"/>
        <v>-14.315270469317648</v>
      </c>
    </row>
    <row r="28" spans="2:7" x14ac:dyDescent="0.2">
      <c r="B28" s="18" t="s">
        <v>15</v>
      </c>
      <c r="C28">
        <f>('Equilibrium Parameters'!B15/$C$12)+'Equilibrium Parameters'!C15+(('Equilibrium Parameters'!D15*($C$6-1))/C$12)</f>
        <v>1.8547402318167219</v>
      </c>
      <c r="E28" t="s">
        <v>15</v>
      </c>
      <c r="F28" s="19">
        <f t="shared" si="0"/>
        <v>-13.789968069594442</v>
      </c>
    </row>
    <row r="29" spans="2:7" x14ac:dyDescent="0.2">
      <c r="B29" s="18" t="s">
        <v>28</v>
      </c>
      <c r="C29">
        <f>(1/C12*0.4343*120*((0.00251*(C6/10000)^3-0.20044*(C6/10000)^2+10.32257*(C6/10000))-(0.00251*0.0001^3-0.20044*0.0001^2+10.32257*0.0001)))+(LOG(EXP((-911336+212.2423*C12-4.512*C12*LOG(C12))/(8.314*C12))))</f>
        <v>-13.22255328782814</v>
      </c>
      <c r="E29" t="s">
        <v>28</v>
      </c>
      <c r="F29" s="19">
        <f t="shared" si="0"/>
        <v>1.2873254500504192</v>
      </c>
    </row>
    <row r="30" spans="2:7" x14ac:dyDescent="0.2">
      <c r="B30" s="18" t="s">
        <v>33</v>
      </c>
      <c r="C30">
        <f>(-20586/C12) - 0.044 +LOG10(C6/10000) - 0.028 * ((C6/10000)-1)/C12</f>
        <v>-14.219207969157008</v>
      </c>
      <c r="E30" t="s">
        <v>33</v>
      </c>
      <c r="F30" s="19">
        <f t="shared" si="0"/>
        <v>2.2839801313792876</v>
      </c>
    </row>
    <row r="31" spans="2:7" x14ac:dyDescent="0.2">
      <c r="B31" s="18" t="s">
        <v>39</v>
      </c>
      <c r="C31">
        <f>(-451020+297.595*C12-14.6586*C12*LN(C12))/(8.31441*C12*LN(10))</f>
        <v>-1.9285755343579587</v>
      </c>
      <c r="E31" t="s">
        <v>39</v>
      </c>
      <c r="F31" s="19">
        <f t="shared" si="0"/>
        <v>-10.006652303419761</v>
      </c>
    </row>
    <row r="32" spans="2:7" x14ac:dyDescent="0.2">
      <c r="B32" s="18" t="s">
        <v>44</v>
      </c>
      <c r="C32">
        <f>LOG(EXP((-758585+349.718*C12-25.5216*C12*LN(C12)+0.00935*C12^2)/(8.314*C12)))</f>
        <v>-10.478588792111982</v>
      </c>
      <c r="E32" t="s">
        <v>44</v>
      </c>
      <c r="F32" s="19">
        <f t="shared" si="0"/>
        <v>-1.4566390456657388</v>
      </c>
      <c r="G32" s="25" t="s">
        <v>53</v>
      </c>
    </row>
    <row r="33" spans="2:7" x14ac:dyDescent="0.2">
      <c r="B33" s="18" t="s">
        <v>47</v>
      </c>
      <c r="C33">
        <f>LOG(EXP((-580563+173*C12)/(8.314*C12)))</f>
        <v>-5.9528713663148674</v>
      </c>
      <c r="E33" t="s">
        <v>47</v>
      </c>
      <c r="F33" s="19">
        <f>$C$10-C33</f>
        <v>-5.982356471462853</v>
      </c>
      <c r="G33" s="25" t="s">
        <v>53</v>
      </c>
    </row>
    <row r="34" spans="2:7" ht="17" thickBot="1" x14ac:dyDescent="0.25">
      <c r="B34" s="20" t="s">
        <v>50</v>
      </c>
      <c r="C34" s="21">
        <f>2*LOG(EXP((-376969-4.19123*C12+10.02409*C12*LN(C12))/(8.314*C12)))</f>
        <v>-11.932023421684903</v>
      </c>
      <c r="D34" s="21"/>
      <c r="E34" s="21" t="s">
        <v>50</v>
      </c>
      <c r="F34" s="22">
        <f>$C$10-C34</f>
        <v>-3.2044160928172971E-3</v>
      </c>
      <c r="G34" s="25" t="s">
        <v>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9"/>
  <sheetViews>
    <sheetView tabSelected="1" workbookViewId="0">
      <selection activeCell="A27" sqref="A27"/>
    </sheetView>
  </sheetViews>
  <sheetFormatPr baseColWidth="10" defaultRowHeight="16" x14ac:dyDescent="0.2"/>
  <cols>
    <col min="1" max="1" width="12" bestFit="1" customWidth="1"/>
  </cols>
  <sheetData>
    <row r="1" spans="1:4" x14ac:dyDescent="0.2">
      <c r="A1" t="s">
        <v>61</v>
      </c>
    </row>
    <row r="2" spans="1:4" x14ac:dyDescent="0.2">
      <c r="A2" s="1" t="s">
        <v>0</v>
      </c>
      <c r="B2" s="1" t="s">
        <v>1</v>
      </c>
      <c r="C2" s="1" t="s">
        <v>2</v>
      </c>
      <c r="D2" s="1" t="s">
        <v>3</v>
      </c>
    </row>
    <row r="3" spans="1:4" x14ac:dyDescent="0.2">
      <c r="A3" t="s">
        <v>4</v>
      </c>
      <c r="B3">
        <v>-29435.7</v>
      </c>
      <c r="C3">
        <v>7.391</v>
      </c>
      <c r="D3">
        <v>4.3999999999999997E-2</v>
      </c>
    </row>
    <row r="4" spans="1:4" x14ac:dyDescent="0.2">
      <c r="A4" t="s">
        <v>5</v>
      </c>
      <c r="B4">
        <v>-29520.799999999999</v>
      </c>
      <c r="C4">
        <v>7.492</v>
      </c>
      <c r="D4">
        <v>0.05</v>
      </c>
    </row>
    <row r="5" spans="1:4" x14ac:dyDescent="0.2">
      <c r="A5" t="s">
        <v>6</v>
      </c>
      <c r="B5">
        <v>-27489</v>
      </c>
      <c r="C5">
        <v>6.702</v>
      </c>
      <c r="D5">
        <v>5.5E-2</v>
      </c>
    </row>
    <row r="6" spans="1:4" x14ac:dyDescent="0.2">
      <c r="A6" t="s">
        <v>29</v>
      </c>
      <c r="B6" t="s">
        <v>30</v>
      </c>
    </row>
    <row r="7" spans="1:4" x14ac:dyDescent="0.2">
      <c r="A7" t="s">
        <v>7</v>
      </c>
      <c r="B7">
        <v>-32807</v>
      </c>
      <c r="C7">
        <v>13.012</v>
      </c>
      <c r="D7">
        <v>8.3000000000000004E-2</v>
      </c>
    </row>
    <row r="8" spans="1:4" x14ac:dyDescent="0.2">
      <c r="A8" t="s">
        <v>8</v>
      </c>
      <c r="B8">
        <v>-28690.6</v>
      </c>
      <c r="C8">
        <v>8.1300000000000008</v>
      </c>
      <c r="D8">
        <v>5.6000000000000001E-2</v>
      </c>
    </row>
    <row r="9" spans="1:4" x14ac:dyDescent="0.2">
      <c r="A9" t="s">
        <v>9</v>
      </c>
      <c r="B9">
        <v>-24332.6</v>
      </c>
      <c r="C9">
        <v>7.2949999999999999</v>
      </c>
      <c r="D9">
        <v>5.1999999999999998E-2</v>
      </c>
    </row>
    <row r="10" spans="1:4" x14ac:dyDescent="0.2">
      <c r="A10" t="s">
        <v>10</v>
      </c>
      <c r="B10">
        <v>-26455.3</v>
      </c>
      <c r="C10">
        <v>10.343999999999999</v>
      </c>
      <c r="D10">
        <v>9.1999999999999998E-2</v>
      </c>
    </row>
    <row r="11" spans="1:4" x14ac:dyDescent="0.2">
      <c r="A11" t="s">
        <v>11</v>
      </c>
      <c r="B11">
        <v>-25096.3</v>
      </c>
      <c r="C11">
        <v>8.7349999999999994</v>
      </c>
      <c r="D11">
        <v>0.11</v>
      </c>
    </row>
    <row r="12" spans="1:4" x14ac:dyDescent="0.2">
      <c r="A12" t="s">
        <v>12</v>
      </c>
      <c r="B12">
        <v>-24930</v>
      </c>
      <c r="C12">
        <v>9.36</v>
      </c>
      <c r="D12">
        <v>4.5999999999999999E-2</v>
      </c>
    </row>
    <row r="13" spans="1:4" x14ac:dyDescent="0.2">
      <c r="A13" t="s">
        <v>13</v>
      </c>
      <c r="B13">
        <v>-25497.5</v>
      </c>
      <c r="C13">
        <v>14.33</v>
      </c>
      <c r="D13">
        <v>1.9E-2</v>
      </c>
    </row>
    <row r="14" spans="1:4" x14ac:dyDescent="0.2">
      <c r="A14" t="s">
        <v>14</v>
      </c>
      <c r="B14">
        <v>-26452.6</v>
      </c>
      <c r="C14">
        <v>15.455</v>
      </c>
      <c r="D14">
        <v>1.9E-2</v>
      </c>
    </row>
    <row r="15" spans="1:4" x14ac:dyDescent="0.2">
      <c r="A15" t="s">
        <v>15</v>
      </c>
      <c r="B15">
        <v>-25700.6</v>
      </c>
      <c r="C15">
        <v>14.558</v>
      </c>
      <c r="D15">
        <v>1.9E-2</v>
      </c>
    </row>
    <row r="18" spans="1:2" x14ac:dyDescent="0.2">
      <c r="A18" s="1" t="s">
        <v>29</v>
      </c>
      <c r="B18" t="s">
        <v>36</v>
      </c>
    </row>
    <row r="19" spans="1:2" x14ac:dyDescent="0.2">
      <c r="A19" t="s">
        <v>31</v>
      </c>
    </row>
    <row r="20" spans="1:2" x14ac:dyDescent="0.2">
      <c r="A20" t="s">
        <v>32</v>
      </c>
    </row>
    <row r="22" spans="1:2" x14ac:dyDescent="0.2">
      <c r="A22" s="1" t="s">
        <v>33</v>
      </c>
      <c r="B22" t="s">
        <v>34</v>
      </c>
    </row>
    <row r="23" spans="1:2" x14ac:dyDescent="0.2">
      <c r="A23" t="s">
        <v>35</v>
      </c>
    </row>
    <row r="25" spans="1:2" x14ac:dyDescent="0.2">
      <c r="A25" s="1" t="s">
        <v>37</v>
      </c>
      <c r="B25" t="s">
        <v>38</v>
      </c>
    </row>
    <row r="26" spans="1:2" x14ac:dyDescent="0.2">
      <c r="A26" t="s">
        <v>69</v>
      </c>
    </row>
    <row r="28" spans="1:2" x14ac:dyDescent="0.2">
      <c r="A28" s="1" t="s">
        <v>40</v>
      </c>
      <c r="B28" t="s">
        <v>41</v>
      </c>
    </row>
    <row r="29" spans="1:2" x14ac:dyDescent="0.2">
      <c r="A29" t="s">
        <v>42</v>
      </c>
    </row>
    <row r="30" spans="1:2" x14ac:dyDescent="0.2">
      <c r="A30" t="s">
        <v>43</v>
      </c>
    </row>
    <row r="32" spans="1:2" x14ac:dyDescent="0.2">
      <c r="A32" s="1" t="s">
        <v>44</v>
      </c>
      <c r="B32" t="s">
        <v>62</v>
      </c>
    </row>
    <row r="33" spans="1:2" x14ac:dyDescent="0.2">
      <c r="A33" t="s">
        <v>45</v>
      </c>
    </row>
    <row r="35" spans="1:2" x14ac:dyDescent="0.2">
      <c r="A35" s="1" t="s">
        <v>47</v>
      </c>
      <c r="B35" t="s">
        <v>48</v>
      </c>
    </row>
    <row r="36" spans="1:2" x14ac:dyDescent="0.2">
      <c r="A36" t="s">
        <v>49</v>
      </c>
    </row>
    <row r="38" spans="1:2" x14ac:dyDescent="0.2">
      <c r="A38" s="1" t="s">
        <v>50</v>
      </c>
      <c r="B38" t="s">
        <v>51</v>
      </c>
    </row>
    <row r="39" spans="1:2" x14ac:dyDescent="0.2">
      <c r="A39" t="s">
        <v>52</v>
      </c>
    </row>
  </sheetData>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0CFD-6A9F-0E42-88FD-691A50553FEB}">
  <dimension ref="A1:A14"/>
  <sheetViews>
    <sheetView workbookViewId="0">
      <selection activeCell="A2" sqref="A2"/>
    </sheetView>
  </sheetViews>
  <sheetFormatPr baseColWidth="10" defaultRowHeight="16" x14ac:dyDescent="0.2"/>
  <sheetData>
    <row r="1" spans="1:1" x14ac:dyDescent="0.2">
      <c r="A1" s="26" t="s">
        <v>68</v>
      </c>
    </row>
    <row r="2" spans="1:1" ht="20" x14ac:dyDescent="0.2">
      <c r="A2" s="27" t="s">
        <v>59</v>
      </c>
    </row>
    <row r="3" spans="1:1" ht="20" x14ac:dyDescent="0.2">
      <c r="A3" s="27" t="s">
        <v>55</v>
      </c>
    </row>
    <row r="4" spans="1:1" ht="20" x14ac:dyDescent="0.2">
      <c r="A4" s="27" t="s">
        <v>56</v>
      </c>
    </row>
    <row r="5" spans="1:1" ht="20" x14ac:dyDescent="0.2">
      <c r="A5" s="27" t="s">
        <v>57</v>
      </c>
    </row>
    <row r="6" spans="1:1" ht="20" x14ac:dyDescent="0.2">
      <c r="A6" s="27" t="s">
        <v>58</v>
      </c>
    </row>
    <row r="8" spans="1:1" ht="20" x14ac:dyDescent="0.2">
      <c r="A8" s="27" t="s">
        <v>60</v>
      </c>
    </row>
    <row r="9" spans="1:1" x14ac:dyDescent="0.2">
      <c r="A9" t="s">
        <v>61</v>
      </c>
    </row>
    <row r="10" spans="1:1" x14ac:dyDescent="0.2">
      <c r="A10" t="s">
        <v>65</v>
      </c>
    </row>
    <row r="11" spans="1:1" x14ac:dyDescent="0.2">
      <c r="A11" t="s">
        <v>66</v>
      </c>
    </row>
    <row r="12" spans="1:1" x14ac:dyDescent="0.2">
      <c r="A12" t="s">
        <v>67</v>
      </c>
    </row>
    <row r="13" spans="1:1" x14ac:dyDescent="0.2">
      <c r="A13" t="s">
        <v>64</v>
      </c>
    </row>
    <row r="14" spans="1:1" ht="17" x14ac:dyDescent="0.2">
      <c r="A14" t="s">
        <v>63</v>
      </c>
    </row>
  </sheetData>
  <hyperlinks>
    <hyperlink ref="A1" r:id="rId1" display="https://doi.org/10.5281/zenodo.5907867" xr:uid="{05E52872-55C7-074E-9581-A7F2641B658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Translate from logfO2 value</vt:lpstr>
      <vt:lpstr>Translate from dQFM</vt:lpstr>
      <vt:lpstr>Translate from dNNO</vt:lpstr>
      <vt:lpstr>Translate from IW</vt:lpstr>
      <vt:lpstr>Equilibrium Parameters</vt: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Kayla Iacovino</dc:creator>
  <cp:lastModifiedBy>Microsoft Office User</cp:lastModifiedBy>
  <dcterms:created xsi:type="dcterms:W3CDTF">2013-05-29T09:26:50Z</dcterms:created>
  <dcterms:modified xsi:type="dcterms:W3CDTF">2023-01-03T16:43:39Z</dcterms:modified>
</cp:coreProperties>
</file>