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gridleong/Documents/pronouns-in-politics/analysis/"/>
    </mc:Choice>
  </mc:AlternateContent>
  <xr:revisionPtr revIDLastSave="0" documentId="13_ncr:1_{CBCB7562-1D6A-B140-AE4F-C9131E806A72}" xr6:coauthVersionLast="40" xr6:coauthVersionMax="40" xr10:uidLastSave="{00000000-0000-0000-0000-000000000000}"/>
  <bookViews>
    <workbookView xWindow="0" yWindow="460" windowWidth="25600" windowHeight="15040" tabRatio="500" activeTab="2" xr2:uid="{00000000-000D-0000-FFFF-FFFF00000000}"/>
  </bookViews>
  <sheets>
    <sheet name="total" sheetId="9" r:id="rId1"/>
    <sheet name="average" sheetId="11" r:id="rId2"/>
    <sheet name="victory" sheetId="2" r:id="rId3"/>
    <sheet name="inaugural" sheetId="3" r:id="rId4"/>
    <sheet name="foreign" sheetId="7" r:id="rId5"/>
    <sheet name="tragedy" sheetId="8" r:id="rId6"/>
    <sheet name="sotu" sheetId="5" r:id="rId7"/>
    <sheet name="un" sheetId="4" r:id="rId8"/>
  </sheets>
  <externalReferences>
    <externalReference r:id="rId9"/>
  </externalReferences>
  <definedNames>
    <definedName name="wordlist_foreign_obama" localSheetId="4">foreign!$A$1:$E$16</definedName>
    <definedName name="wordlist_inaugural_obama" localSheetId="3">inaugural!$A$1:$D$16</definedName>
    <definedName name="wordlist_obama" localSheetId="0">total!$A$1:$F$22</definedName>
    <definedName name="wordlist_sotu_obama" localSheetId="6">sotu!$A$1:$D$20</definedName>
    <definedName name="wordlist_tragedy_obama" localSheetId="5">tragedy!$A$1:$D$17</definedName>
    <definedName name="wordlist_un_obama" localSheetId="7">un!$A$1:$D$20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9" l="1"/>
  <c r="G6" i="9"/>
  <c r="B3" i="4"/>
  <c r="B3" i="5"/>
  <c r="B3" i="8"/>
  <c r="B3" i="7"/>
  <c r="B3" i="3"/>
  <c r="B3" i="2"/>
  <c r="B3" i="9"/>
  <c r="G7" i="4" l="1"/>
  <c r="G6" i="4"/>
  <c r="G7" i="5"/>
  <c r="G6" i="5"/>
  <c r="G7" i="8"/>
  <c r="G6" i="8"/>
  <c r="G7" i="7"/>
  <c r="G6" i="7"/>
  <c r="G7" i="2"/>
  <c r="G6" i="2"/>
  <c r="G7" i="3"/>
  <c r="B36" i="11"/>
  <c r="B34" i="11"/>
  <c r="B37" i="11"/>
  <c r="B35" i="11"/>
  <c r="B33" i="11"/>
  <c r="B32" i="11"/>
  <c r="B9" i="11"/>
  <c r="B7" i="11"/>
  <c r="Q76" i="11"/>
  <c r="P76" i="11"/>
  <c r="M76" i="11"/>
  <c r="L76" i="11"/>
  <c r="K76" i="11"/>
  <c r="G76" i="11"/>
  <c r="F76" i="11"/>
  <c r="Q75" i="11"/>
  <c r="P75" i="11"/>
  <c r="M75" i="11"/>
  <c r="L75" i="11"/>
  <c r="K75" i="11"/>
  <c r="G75" i="11"/>
  <c r="F75" i="11"/>
  <c r="Q74" i="11"/>
  <c r="P74" i="11"/>
  <c r="M74" i="11"/>
  <c r="L74" i="11"/>
  <c r="K74" i="11"/>
  <c r="H74" i="11"/>
  <c r="G74" i="11"/>
  <c r="F74" i="11"/>
  <c r="R73" i="11"/>
  <c r="Q73" i="11"/>
  <c r="P73" i="11"/>
  <c r="M73" i="11"/>
  <c r="L73" i="11"/>
  <c r="K73" i="11"/>
  <c r="H73" i="11"/>
  <c r="G73" i="11"/>
  <c r="F73" i="11"/>
  <c r="Q72" i="11"/>
  <c r="P72" i="11"/>
  <c r="M72" i="11"/>
  <c r="L72" i="11"/>
  <c r="K72" i="11"/>
  <c r="G72" i="11"/>
  <c r="F72" i="11"/>
  <c r="Q71" i="11"/>
  <c r="P71" i="11"/>
  <c r="L71" i="11"/>
  <c r="K71" i="11"/>
  <c r="G71" i="11"/>
  <c r="F71" i="11"/>
  <c r="L63" i="11"/>
  <c r="K63" i="11"/>
  <c r="G63" i="11"/>
  <c r="F63" i="11"/>
  <c r="L62" i="11"/>
  <c r="K62" i="11"/>
  <c r="H62" i="11"/>
  <c r="G62" i="11"/>
  <c r="F62" i="11"/>
  <c r="M61" i="11"/>
  <c r="L61" i="11"/>
  <c r="K61" i="11"/>
  <c r="H61" i="11"/>
  <c r="G61" i="11"/>
  <c r="F61" i="11"/>
  <c r="L60" i="11"/>
  <c r="K60" i="11"/>
  <c r="G60" i="11"/>
  <c r="F60" i="11"/>
  <c r="M59" i="11"/>
  <c r="L59" i="11"/>
  <c r="K59" i="11"/>
  <c r="H59" i="11"/>
  <c r="G59" i="11"/>
  <c r="F59" i="11"/>
  <c r="L58" i="11"/>
  <c r="K58" i="11"/>
  <c r="H58" i="11"/>
  <c r="G58" i="11"/>
  <c r="F58" i="11"/>
  <c r="Q50" i="11"/>
  <c r="P50" i="11"/>
  <c r="M50" i="11"/>
  <c r="L50" i="11"/>
  <c r="K50" i="11"/>
  <c r="G50" i="11"/>
  <c r="F50" i="11"/>
  <c r="Q49" i="11"/>
  <c r="P49" i="11"/>
  <c r="M49" i="11"/>
  <c r="L49" i="11"/>
  <c r="K49" i="11"/>
  <c r="G49" i="11"/>
  <c r="F49" i="11"/>
  <c r="Q48" i="11"/>
  <c r="P48" i="11"/>
  <c r="M48" i="11"/>
  <c r="L48" i="11"/>
  <c r="K48" i="11"/>
  <c r="G48" i="11"/>
  <c r="F48" i="11"/>
  <c r="Q47" i="11"/>
  <c r="P47" i="11"/>
  <c r="M47" i="11"/>
  <c r="L47" i="11"/>
  <c r="K47" i="11"/>
  <c r="G47" i="11"/>
  <c r="F47" i="11"/>
  <c r="Q46" i="11"/>
  <c r="P46" i="11"/>
  <c r="M46" i="11"/>
  <c r="L46" i="11"/>
  <c r="K46" i="11"/>
  <c r="G46" i="11"/>
  <c r="F46" i="11"/>
  <c r="Q45" i="11"/>
  <c r="P45" i="11"/>
  <c r="M45" i="11"/>
  <c r="L45" i="11"/>
  <c r="K45" i="11"/>
  <c r="H45" i="11"/>
  <c r="G45" i="11"/>
  <c r="F45" i="11"/>
  <c r="Q37" i="11"/>
  <c r="P37" i="11"/>
  <c r="M37" i="11"/>
  <c r="L37" i="11"/>
  <c r="K37" i="11"/>
  <c r="G37" i="11"/>
  <c r="F37" i="11"/>
  <c r="Q36" i="11"/>
  <c r="P36" i="11"/>
  <c r="L36" i="11"/>
  <c r="K36" i="11"/>
  <c r="G36" i="11"/>
  <c r="F36" i="11"/>
  <c r="R35" i="11"/>
  <c r="Q35" i="11"/>
  <c r="P35" i="11"/>
  <c r="L35" i="11"/>
  <c r="K35" i="11"/>
  <c r="H35" i="11"/>
  <c r="G35" i="11"/>
  <c r="F35" i="11"/>
  <c r="R34" i="11"/>
  <c r="Q34" i="11"/>
  <c r="P34" i="11"/>
  <c r="M34" i="11"/>
  <c r="L34" i="11"/>
  <c r="K34" i="11"/>
  <c r="G34" i="11"/>
  <c r="F34" i="11"/>
  <c r="Q33" i="11"/>
  <c r="P33" i="11"/>
  <c r="M33" i="11"/>
  <c r="L33" i="11"/>
  <c r="K33" i="11"/>
  <c r="G33" i="11"/>
  <c r="F33" i="11"/>
  <c r="Q32" i="11"/>
  <c r="P32" i="11"/>
  <c r="L32" i="11"/>
  <c r="K32" i="11"/>
  <c r="G32" i="11"/>
  <c r="F32" i="11"/>
  <c r="R11" i="11"/>
  <c r="Q11" i="11"/>
  <c r="P11" i="11"/>
  <c r="M11" i="11"/>
  <c r="L11" i="11"/>
  <c r="K11" i="11"/>
  <c r="G11" i="11"/>
  <c r="F11" i="11"/>
  <c r="R10" i="11"/>
  <c r="Q10" i="11"/>
  <c r="P10" i="11"/>
  <c r="L10" i="11"/>
  <c r="K10" i="11"/>
  <c r="G10" i="11"/>
  <c r="F10" i="11"/>
  <c r="R9" i="11"/>
  <c r="Q9" i="11"/>
  <c r="P9" i="11"/>
  <c r="M9" i="11"/>
  <c r="L9" i="11"/>
  <c r="K9" i="11"/>
  <c r="G9" i="11"/>
  <c r="F9" i="11"/>
  <c r="Q8" i="11"/>
  <c r="P8" i="11"/>
  <c r="L8" i="11"/>
  <c r="K8" i="11"/>
  <c r="G8" i="11"/>
  <c r="F8" i="11"/>
  <c r="Q7" i="11"/>
  <c r="P7" i="11"/>
  <c r="L7" i="11"/>
  <c r="K7" i="11"/>
  <c r="G7" i="11"/>
  <c r="F7" i="11"/>
  <c r="R6" i="11"/>
  <c r="Q6" i="11"/>
  <c r="P6" i="11"/>
  <c r="L6" i="11"/>
  <c r="K6" i="11"/>
  <c r="G6" i="11"/>
  <c r="F6" i="11"/>
  <c r="G24" i="11"/>
  <c r="F24" i="11"/>
  <c r="H23" i="11"/>
  <c r="G23" i="11"/>
  <c r="F23" i="11"/>
  <c r="G22" i="11"/>
  <c r="F22" i="11"/>
  <c r="H21" i="11"/>
  <c r="G21" i="11"/>
  <c r="F21" i="11"/>
  <c r="G20" i="11"/>
  <c r="F20" i="11"/>
  <c r="G19" i="11"/>
  <c r="F19" i="11"/>
  <c r="L24" i="11"/>
  <c r="K24" i="11"/>
  <c r="L23" i="11"/>
  <c r="K23" i="11"/>
  <c r="M22" i="11"/>
  <c r="L22" i="11"/>
  <c r="K22" i="11"/>
  <c r="M21" i="11"/>
  <c r="L21" i="11"/>
  <c r="K21" i="11"/>
  <c r="L20" i="11"/>
  <c r="K20" i="11"/>
  <c r="L19" i="11"/>
  <c r="K19" i="11"/>
  <c r="R24" i="11"/>
  <c r="Q24" i="11"/>
  <c r="P24" i="11"/>
  <c r="Q23" i="11"/>
  <c r="P23" i="11"/>
  <c r="R22" i="11"/>
  <c r="Q22" i="11"/>
  <c r="P22" i="11"/>
  <c r="R21" i="11"/>
  <c r="Q21" i="11"/>
  <c r="P21" i="11"/>
  <c r="R20" i="11"/>
  <c r="Q20" i="11"/>
  <c r="P20" i="11"/>
  <c r="R19" i="11"/>
  <c r="Q19" i="11"/>
  <c r="P19" i="11"/>
  <c r="H13" i="4"/>
  <c r="G13" i="4"/>
  <c r="H13" i="5"/>
  <c r="G13" i="5"/>
  <c r="H13" i="8"/>
  <c r="G13" i="8"/>
  <c r="H11" i="8" s="1"/>
  <c r="H13" i="7"/>
  <c r="G13" i="7"/>
  <c r="G8" i="3"/>
  <c r="H7" i="3" s="1"/>
  <c r="G6" i="3"/>
  <c r="G13" i="3"/>
  <c r="H13" i="2"/>
  <c r="G13" i="2"/>
  <c r="D7" i="4"/>
  <c r="D8" i="4"/>
  <c r="H37" i="11" s="1"/>
  <c r="D9" i="4"/>
  <c r="R50" i="11" s="1"/>
  <c r="D10" i="4"/>
  <c r="D11" i="4"/>
  <c r="H50" i="11" s="1"/>
  <c r="D12" i="4"/>
  <c r="R37" i="11" s="1"/>
  <c r="D13" i="4"/>
  <c r="H24" i="11" s="1"/>
  <c r="D14" i="4"/>
  <c r="D15" i="4"/>
  <c r="H76" i="11" s="1"/>
  <c r="D16" i="4"/>
  <c r="M63" i="11" s="1"/>
  <c r="D17" i="4"/>
  <c r="R76" i="11" s="1"/>
  <c r="D18" i="4"/>
  <c r="H63" i="11" s="1"/>
  <c r="D19" i="4"/>
  <c r="M24" i="11" s="1"/>
  <c r="D6" i="4"/>
  <c r="H11" i="11" s="1"/>
  <c r="C20" i="4"/>
  <c r="D7" i="5"/>
  <c r="D8" i="5"/>
  <c r="H36" i="11" s="1"/>
  <c r="D9" i="5"/>
  <c r="H49" i="11" s="1"/>
  <c r="D10" i="5"/>
  <c r="R49" i="11" s="1"/>
  <c r="D11" i="5"/>
  <c r="D12" i="5"/>
  <c r="M10" i="11" s="1"/>
  <c r="D13" i="5"/>
  <c r="M36" i="11" s="1"/>
  <c r="D14" i="5"/>
  <c r="R36" i="11" s="1"/>
  <c r="D15" i="5"/>
  <c r="D16" i="5"/>
  <c r="H75" i="11" s="1"/>
  <c r="D17" i="5"/>
  <c r="M62" i="11" s="1"/>
  <c r="D18" i="5"/>
  <c r="R75" i="11" s="1"/>
  <c r="D19" i="5"/>
  <c r="M23" i="11" s="1"/>
  <c r="D20" i="5"/>
  <c r="R23" i="11" s="1"/>
  <c r="D6" i="5"/>
  <c r="H10" i="11" s="1"/>
  <c r="C21" i="5"/>
  <c r="C17" i="7"/>
  <c r="D7" i="8"/>
  <c r="D8" i="8"/>
  <c r="H22" i="11" s="1"/>
  <c r="D9" i="8"/>
  <c r="D10" i="8"/>
  <c r="D11" i="8"/>
  <c r="H48" i="11" s="1"/>
  <c r="D12" i="8"/>
  <c r="R48" i="11" s="1"/>
  <c r="D13" i="8"/>
  <c r="D14" i="8"/>
  <c r="D15" i="8"/>
  <c r="R74" i="11" s="1"/>
  <c r="D16" i="8"/>
  <c r="M35" i="11" s="1"/>
  <c r="D17" i="8"/>
  <c r="D6" i="8"/>
  <c r="D18" i="8" s="1"/>
  <c r="C18" i="8"/>
  <c r="D16" i="7"/>
  <c r="M8" i="11" s="1"/>
  <c r="D7" i="7"/>
  <c r="R8" i="11" s="1"/>
  <c r="D8" i="7"/>
  <c r="H34" i="11" s="1"/>
  <c r="D9" i="7"/>
  <c r="D10" i="7"/>
  <c r="R47" i="11" s="1"/>
  <c r="D11" i="7"/>
  <c r="D12" i="7"/>
  <c r="M60" i="11" s="1"/>
  <c r="D13" i="7"/>
  <c r="D14" i="7"/>
  <c r="H60" i="11" s="1"/>
  <c r="D15" i="7"/>
  <c r="H47" i="11" s="1"/>
  <c r="D6" i="7"/>
  <c r="H8" i="11" s="1"/>
  <c r="D7" i="2"/>
  <c r="H32" i="11" s="1"/>
  <c r="D8" i="2"/>
  <c r="D9" i="2"/>
  <c r="H19" i="11" s="1"/>
  <c r="D10" i="2"/>
  <c r="R32" i="11" s="1"/>
  <c r="D11" i="2"/>
  <c r="M6" i="11" s="1"/>
  <c r="D12" i="2"/>
  <c r="D13" i="2"/>
  <c r="R45" i="11" s="1"/>
  <c r="D14" i="2"/>
  <c r="M58" i="11" s="1"/>
  <c r="D15" i="2"/>
  <c r="M19" i="11" s="1"/>
  <c r="D16" i="2"/>
  <c r="D17" i="2"/>
  <c r="H71" i="11" s="1"/>
  <c r="D18" i="2"/>
  <c r="M32" i="11" s="1"/>
  <c r="D19" i="2"/>
  <c r="M71" i="11" s="1"/>
  <c r="D20" i="2"/>
  <c r="R71" i="11" s="1"/>
  <c r="D21" i="2"/>
  <c r="D6" i="2"/>
  <c r="H6" i="11" s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6" i="9"/>
  <c r="D23" i="9" s="1"/>
  <c r="H11" i="4"/>
  <c r="G12" i="9"/>
  <c r="G11" i="9"/>
  <c r="C23" i="9"/>
  <c r="H11" i="7"/>
  <c r="D21" i="5" l="1"/>
  <c r="H9" i="11"/>
  <c r="D17" i="7"/>
  <c r="D22" i="2"/>
  <c r="B6" i="11"/>
  <c r="G8" i="4"/>
  <c r="B11" i="11"/>
  <c r="G8" i="5"/>
  <c r="H7" i="5" s="1"/>
  <c r="B10" i="11"/>
  <c r="B8" i="11"/>
  <c r="C33" i="11"/>
  <c r="H65" i="11"/>
  <c r="F65" i="11"/>
  <c r="B41" i="11"/>
  <c r="B40" i="11"/>
  <c r="B38" i="11"/>
  <c r="B39" i="11"/>
  <c r="G8" i="8"/>
  <c r="H6" i="8" s="1"/>
  <c r="G8" i="7"/>
  <c r="H6" i="7" s="1"/>
  <c r="G64" i="11" a="1"/>
  <c r="G64" i="11" s="1"/>
  <c r="Q28" i="11" a="1"/>
  <c r="Q28" i="11" s="1"/>
  <c r="G26" i="11"/>
  <c r="K14" i="11" a="1"/>
  <c r="K14" i="11" s="1"/>
  <c r="Q14" i="11" a="1"/>
  <c r="Q14" i="11" s="1"/>
  <c r="G40" i="11" a="1"/>
  <c r="G40" i="11" s="1"/>
  <c r="M40" i="11" a="1"/>
  <c r="M40" i="11" s="1"/>
  <c r="K52" i="11"/>
  <c r="Q52" i="11"/>
  <c r="G79" i="11" a="1"/>
  <c r="G79" i="11" s="1"/>
  <c r="M79" i="11" a="1"/>
  <c r="M79" i="11" s="1"/>
  <c r="K28" i="11" a="1"/>
  <c r="K28" i="11" s="1"/>
  <c r="F14" i="11" a="1"/>
  <c r="F14" i="11" s="1"/>
  <c r="P41" i="11" a="1"/>
  <c r="P41" i="11" s="1"/>
  <c r="G41" i="11" a="1"/>
  <c r="G41" i="11" s="1"/>
  <c r="F53" i="11" a="1"/>
  <c r="F53" i="11" s="1"/>
  <c r="Q53" i="11" a="1"/>
  <c r="Q53" i="11" s="1"/>
  <c r="G80" i="11" a="1"/>
  <c r="G80" i="11" s="1"/>
  <c r="L25" i="11" a="1"/>
  <c r="L25" i="11" s="1"/>
  <c r="F27" i="11" a="1"/>
  <c r="F27" i="11" s="1"/>
  <c r="G14" i="11" a="1"/>
  <c r="G14" i="11" s="1"/>
  <c r="F15" i="11" a="1"/>
  <c r="F15" i="11" s="1"/>
  <c r="L13" i="11"/>
  <c r="Q12" i="11" a="1"/>
  <c r="Q12" i="11" s="1"/>
  <c r="P15" i="11" a="1"/>
  <c r="P15" i="11" s="1"/>
  <c r="K39" i="11"/>
  <c r="Q38" i="11" a="1"/>
  <c r="Q38" i="11" s="1"/>
  <c r="P39" i="11"/>
  <c r="G38" i="11" a="1"/>
  <c r="G38" i="11" s="1"/>
  <c r="F41" i="11" a="1"/>
  <c r="F41" i="11" s="1"/>
  <c r="L41" i="11" a="1"/>
  <c r="L41" i="11" s="1"/>
  <c r="G54" i="11" a="1"/>
  <c r="G54" i="11" s="1"/>
  <c r="M54" i="11" a="1"/>
  <c r="M54" i="11" s="1"/>
  <c r="L51" i="11" a="1"/>
  <c r="L51" i="11" s="1"/>
  <c r="K54" i="11" a="1"/>
  <c r="K54" i="11" s="1"/>
  <c r="Q54" i="11" a="1"/>
  <c r="Q54" i="11" s="1"/>
  <c r="P53" i="11" a="1"/>
  <c r="P53" i="11" s="1"/>
  <c r="K66" i="11" a="1"/>
  <c r="K66" i="11" s="1"/>
  <c r="G65" i="11"/>
  <c r="M65" i="11"/>
  <c r="K78" i="11"/>
  <c r="Q77" i="11" a="1"/>
  <c r="Q77" i="11" s="1"/>
  <c r="H67" i="11" a="1"/>
  <c r="H67" i="11" s="1"/>
  <c r="R26" i="11"/>
  <c r="L15" i="11" a="1"/>
  <c r="L15" i="11" s="1"/>
  <c r="M41" i="11" a="1"/>
  <c r="M41" i="11" s="1"/>
  <c r="L53" i="11" a="1"/>
  <c r="L53" i="11" s="1"/>
  <c r="K53" i="11" a="1"/>
  <c r="K53" i="11" s="1"/>
  <c r="P80" i="11" a="1"/>
  <c r="P80" i="11" s="1"/>
  <c r="M80" i="11" a="1"/>
  <c r="M80" i="11" s="1"/>
  <c r="Q26" i="11"/>
  <c r="R27" i="11" a="1"/>
  <c r="R27" i="11" s="1"/>
  <c r="K26" i="11"/>
  <c r="G28" i="11" a="1"/>
  <c r="G28" i="11" s="1"/>
  <c r="P27" i="11" a="1"/>
  <c r="P27" i="11" s="1"/>
  <c r="F26" i="11"/>
  <c r="P13" i="11"/>
  <c r="F39" i="11"/>
  <c r="L39" i="11"/>
  <c r="P52" i="11"/>
  <c r="F67" i="11" a="1"/>
  <c r="F67" i="11" s="1"/>
  <c r="L67" i="11" a="1"/>
  <c r="L67" i="11" s="1"/>
  <c r="F78" i="11"/>
  <c r="L78" i="11"/>
  <c r="L65" i="11"/>
  <c r="F13" i="11"/>
  <c r="K40" i="11" a="1"/>
  <c r="K40" i="11" s="1"/>
  <c r="Q40" i="11" a="1"/>
  <c r="Q40" i="11" s="1"/>
  <c r="G52" i="11"/>
  <c r="M52" i="11"/>
  <c r="G66" i="11" a="1"/>
  <c r="G66" i="11" s="1"/>
  <c r="G13" i="11"/>
  <c r="G15" i="11" a="1"/>
  <c r="G15" i="11" s="1"/>
  <c r="K13" i="11"/>
  <c r="L14" i="11" a="1"/>
  <c r="L14" i="11" s="1"/>
  <c r="Q13" i="11"/>
  <c r="G25" i="11" a="1"/>
  <c r="G25" i="11" s="1"/>
  <c r="F28" i="11" a="1"/>
  <c r="F28" i="11" s="1"/>
  <c r="K27" i="11" a="1"/>
  <c r="K27" i="11" s="1"/>
  <c r="L28" i="11" a="1"/>
  <c r="L28" i="11" s="1"/>
  <c r="P26" i="11"/>
  <c r="Q27" i="11" a="1"/>
  <c r="Q27" i="11" s="1"/>
  <c r="R28" i="11" a="1"/>
  <c r="R28" i="11" s="1"/>
  <c r="G39" i="11"/>
  <c r="L38" i="11" a="1"/>
  <c r="L38" i="11" s="1"/>
  <c r="M39" i="11"/>
  <c r="K41" i="11" a="1"/>
  <c r="K41" i="11" s="1"/>
  <c r="P40" i="11" a="1"/>
  <c r="P40" i="11" s="1"/>
  <c r="Q41" i="11" a="1"/>
  <c r="Q41" i="11" s="1"/>
  <c r="F52" i="11"/>
  <c r="G53" i="11" a="1"/>
  <c r="G53" i="11" s="1"/>
  <c r="L52" i="11"/>
  <c r="M53" i="11" a="1"/>
  <c r="M53" i="11" s="1"/>
  <c r="Q51" i="11" a="1"/>
  <c r="Q51" i="11" s="1"/>
  <c r="P54" i="11" a="1"/>
  <c r="P54" i="11" s="1"/>
  <c r="F66" i="11" a="1"/>
  <c r="F66" i="11" s="1"/>
  <c r="G67" i="11" a="1"/>
  <c r="G67" i="11" s="1"/>
  <c r="K65" i="11"/>
  <c r="L66" i="11" a="1"/>
  <c r="L66" i="11" s="1"/>
  <c r="M67" i="11" a="1"/>
  <c r="M67" i="11" s="1"/>
  <c r="G78" i="11"/>
  <c r="L77" i="11" a="1"/>
  <c r="L77" i="11" s="1"/>
  <c r="M78" i="11"/>
  <c r="K80" i="11" a="1"/>
  <c r="K80" i="11" s="1"/>
  <c r="P79" i="11" a="1"/>
  <c r="P79" i="11" s="1"/>
  <c r="Q80" i="11" a="1"/>
  <c r="Q80" i="11" s="1"/>
  <c r="G77" i="11" a="1"/>
  <c r="G77" i="11" s="1"/>
  <c r="F80" i="11" a="1"/>
  <c r="F80" i="11" s="1"/>
  <c r="K79" i="11" a="1"/>
  <c r="K79" i="11" s="1"/>
  <c r="L80" i="11" a="1"/>
  <c r="L80" i="11" s="1"/>
  <c r="P78" i="11"/>
  <c r="Q79" i="11" a="1"/>
  <c r="Q79" i="11" s="1"/>
  <c r="L27" i="11" a="1"/>
  <c r="L27" i="11" s="1"/>
  <c r="M66" i="11" a="1"/>
  <c r="M66" i="11" s="1"/>
  <c r="L12" i="11" a="1"/>
  <c r="L12" i="11" s="1"/>
  <c r="K15" i="11" a="1"/>
  <c r="K15" i="11" s="1"/>
  <c r="P14" i="11" a="1"/>
  <c r="P14" i="11" s="1"/>
  <c r="Q15" i="11" a="1"/>
  <c r="Q15" i="11" s="1"/>
  <c r="G27" i="11" a="1"/>
  <c r="G27" i="11" s="1"/>
  <c r="L26" i="11"/>
  <c r="Q25" i="11" a="1"/>
  <c r="Q25" i="11" s="1"/>
  <c r="P28" i="11" a="1"/>
  <c r="P28" i="11" s="1"/>
  <c r="F40" i="11" a="1"/>
  <c r="F40" i="11" s="1"/>
  <c r="L40" i="11" a="1"/>
  <c r="L40" i="11" s="1"/>
  <c r="Q39" i="11"/>
  <c r="G51" i="11" a="1"/>
  <c r="G51" i="11" s="1"/>
  <c r="F54" i="11" a="1"/>
  <c r="F54" i="11" s="1"/>
  <c r="L54" i="11" a="1"/>
  <c r="L54" i="11" s="1"/>
  <c r="H66" i="11" a="1"/>
  <c r="H66" i="11" s="1"/>
  <c r="L64" i="11" a="1"/>
  <c r="L64" i="11" s="1"/>
  <c r="K67" i="11" a="1"/>
  <c r="K67" i="11" s="1"/>
  <c r="F79" i="11" a="1"/>
  <c r="F79" i="11" s="1"/>
  <c r="L79" i="11" a="1"/>
  <c r="L79" i="11" s="1"/>
  <c r="Q78" i="11"/>
  <c r="G12" i="11" a="1"/>
  <c r="G12" i="11" s="1"/>
  <c r="H12" i="8"/>
  <c r="H6" i="3"/>
  <c r="G8" i="2"/>
  <c r="H6" i="2" s="1"/>
  <c r="D20" i="4"/>
  <c r="H12" i="4"/>
  <c r="H12" i="7"/>
  <c r="G8" i="9"/>
  <c r="H7" i="9" s="1"/>
  <c r="C17" i="3"/>
  <c r="C22" i="2"/>
  <c r="B15" i="11" l="1"/>
  <c r="H6" i="4"/>
  <c r="H7" i="4"/>
  <c r="B14" i="11"/>
  <c r="B13" i="11"/>
  <c r="B12" i="11"/>
  <c r="H6" i="5"/>
  <c r="C10" i="11" s="1"/>
  <c r="C36" i="11"/>
  <c r="C9" i="11"/>
  <c r="C8" i="11"/>
  <c r="C6" i="11"/>
  <c r="H7" i="2"/>
  <c r="H8" i="2" s="1"/>
  <c r="H8" i="3"/>
  <c r="C7" i="11"/>
  <c r="H7" i="8"/>
  <c r="H7" i="7"/>
  <c r="D9" i="3"/>
  <c r="H46" i="11" s="1"/>
  <c r="D13" i="3"/>
  <c r="M20" i="11" s="1"/>
  <c r="D6" i="3"/>
  <c r="R7" i="11" s="1"/>
  <c r="D12" i="3"/>
  <c r="H33" i="11" s="1"/>
  <c r="D10" i="3"/>
  <c r="H20" i="11" s="1"/>
  <c r="D14" i="3"/>
  <c r="R33" i="11" s="1"/>
  <c r="D7" i="3"/>
  <c r="H7" i="11" s="1"/>
  <c r="D11" i="3"/>
  <c r="R46" i="11" s="1"/>
  <c r="D15" i="3"/>
  <c r="H72" i="11" s="1"/>
  <c r="D8" i="3"/>
  <c r="M7" i="11" s="1"/>
  <c r="D16" i="3"/>
  <c r="R72" i="11" s="1"/>
  <c r="H6" i="9"/>
  <c r="H8" i="9" s="1"/>
  <c r="H12" i="2"/>
  <c r="H39" i="11" l="1"/>
  <c r="H41" i="11" a="1"/>
  <c r="H41" i="11" s="1"/>
  <c r="H40" i="11" a="1"/>
  <c r="H40" i="11" s="1"/>
  <c r="R78" i="11"/>
  <c r="R79" i="11" a="1"/>
  <c r="R79" i="11" s="1"/>
  <c r="R80" i="11" a="1"/>
  <c r="R80" i="11" s="1"/>
  <c r="H13" i="11"/>
  <c r="H15" i="11" a="1"/>
  <c r="H15" i="11" s="1"/>
  <c r="H14" i="11" a="1"/>
  <c r="H14" i="11" s="1"/>
  <c r="R13" i="11"/>
  <c r="R14" i="11" a="1"/>
  <c r="R14" i="11" s="1"/>
  <c r="R15" i="11" a="1"/>
  <c r="R15" i="11" s="1"/>
  <c r="R53" i="11" a="1"/>
  <c r="R53" i="11" s="1"/>
  <c r="R52" i="11"/>
  <c r="R54" i="11" a="1"/>
  <c r="R54" i="11" s="1"/>
  <c r="M14" i="11" a="1"/>
  <c r="M14" i="11" s="1"/>
  <c r="M13" i="11"/>
  <c r="M15" i="11" a="1"/>
  <c r="M15" i="11" s="1"/>
  <c r="R41" i="11" a="1"/>
  <c r="R41" i="11" s="1"/>
  <c r="R39" i="11"/>
  <c r="R40" i="11" a="1"/>
  <c r="R40" i="11" s="1"/>
  <c r="M27" i="11" a="1"/>
  <c r="M27" i="11" s="1"/>
  <c r="M26" i="11"/>
  <c r="M28" i="11" a="1"/>
  <c r="M28" i="11" s="1"/>
  <c r="H78" i="11"/>
  <c r="H79" i="11" a="1"/>
  <c r="H79" i="11" s="1"/>
  <c r="H80" i="11" a="1"/>
  <c r="H80" i="11" s="1"/>
  <c r="H26" i="11"/>
  <c r="H28" i="11" a="1"/>
  <c r="H28" i="11" s="1"/>
  <c r="H27" i="11" a="1"/>
  <c r="H27" i="11" s="1"/>
  <c r="H53" i="11" a="1"/>
  <c r="H53" i="11" s="1"/>
  <c r="H54" i="11" a="1"/>
  <c r="H54" i="11" s="1"/>
  <c r="H52" i="11"/>
  <c r="C37" i="11"/>
  <c r="H8" i="4"/>
  <c r="C11" i="11"/>
  <c r="C15" i="11" s="1"/>
  <c r="H8" i="5"/>
  <c r="H8" i="8"/>
  <c r="C35" i="11"/>
  <c r="H8" i="7"/>
  <c r="C34" i="11"/>
  <c r="C32" i="11"/>
  <c r="D17" i="3"/>
  <c r="H11" i="2"/>
  <c r="H11" i="3"/>
  <c r="C13" i="11" l="1"/>
  <c r="C14" i="11"/>
  <c r="C39" i="11"/>
  <c r="C41" i="11"/>
  <c r="C40" i="11"/>
  <c r="H12" i="3"/>
  <c r="H13" i="3" s="1"/>
  <c r="H11" i="5"/>
  <c r="H12" i="5"/>
  <c r="H11" i="9" l="1"/>
  <c r="G13" i="9"/>
  <c r="H12" i="9"/>
  <c r="H1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ordlist_foreign_obama.txt" type="6" refreshedVersion="0" background="1" saveData="1">
    <textPr fileType="mac" sourceFile="SCA_MacHD:Users:yang110:Downloads:drive-download-20181114T222354Z-001:output:wordlist_foreign_obama.txt">
      <textFields count="4">
        <textField/>
        <textField/>
        <textField/>
        <textField/>
      </textFields>
    </textPr>
  </connection>
  <connection id="2" xr16:uid="{00000000-0015-0000-FFFF-FFFF01000000}" name="wordlist_inaugural_obama.txt" type="6" refreshedVersion="0" background="1" saveData="1">
    <textPr fileType="mac" sourceFile="SCA_MacHD:Users:yang110:Downloads:drive-download-20181114T222354Z-001:output:wordlist_inaugural_obama.txt">
      <textFields count="4">
        <textField/>
        <textField/>
        <textField/>
        <textField/>
      </textFields>
    </textPr>
  </connection>
  <connection id="3" xr16:uid="{2A7992CD-C3A8-1B40-A9DA-C669A0EB0362}" name="wordlist_obama" type="6" refreshedVersion="6" background="1" saveData="1">
    <textPr codePage="10000" sourceFile="/Users/ingridleong/Documents/pronouns-in-politics/output/wordlist/wordlist_obama.txt">
      <textFields>
        <textField/>
      </textFields>
    </textPr>
  </connection>
  <connection id="4" xr16:uid="{00000000-0015-0000-FFFF-FFFF02000000}" name="wordlist_sotu_obama.txt" type="6" refreshedVersion="0" background="1" saveData="1">
    <textPr fileType="mac" sourceFile="SCA_MacHD:Users:yang110:Downloads:drive-download-20181114T222354Z-001:output:wordlist_sotu_obama.txt">
      <textFields count="4">
        <textField/>
        <textField/>
        <textField/>
        <textField/>
      </textFields>
    </textPr>
  </connection>
  <connection id="5" xr16:uid="{1CA78588-BE91-7B4D-B3FA-275C3E2C7147}" name="wordlist_tragedy_obama" type="6" refreshedVersion="6" background="1" saveData="1">
    <textPr codePage="10000" sourceFile="/Users/ingridleong/Documents/pronouns-in-politics/output/wordlist/wordlist_tragedy_obama.txt">
      <textFields count="4">
        <textField/>
        <textField/>
        <textField/>
        <textField/>
      </textFields>
    </textPr>
  </connection>
  <connection id="6" xr16:uid="{00000000-0015-0000-FFFF-FFFF03000000}" name="wordlist_un_obama.txt" type="6" refreshedVersion="0" background="1" saveData="1">
    <textPr fileType="mac" sourceFile="SCA_MacHD:Users:yang110:Downloads:drive-download-20181114T222354Z-001:output:wordlist_un_obama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<sst xmlns="http://schemas.openxmlformats.org/spreadsheetml/2006/main" count="521" uniqueCount="41">
  <si>
    <t>we</t>
  </si>
  <si>
    <t>our</t>
  </si>
  <si>
    <t>i</t>
  </si>
  <si>
    <t>they</t>
  </si>
  <si>
    <t>their</t>
  </si>
  <si>
    <t>you</t>
  </si>
  <si>
    <t>us</t>
  </si>
  <si>
    <t>my</t>
  </si>
  <si>
    <t>them</t>
  </si>
  <si>
    <t>me</t>
  </si>
  <si>
    <t>she</t>
  </si>
  <si>
    <t>her</t>
  </si>
  <si>
    <t>your</t>
  </si>
  <si>
    <t>he</t>
  </si>
  <si>
    <t>his</t>
  </si>
  <si>
    <t>ours</t>
  </si>
  <si>
    <t>him</t>
  </si>
  <si>
    <t>yours</t>
  </si>
  <si>
    <t>Rank</t>
  </si>
  <si>
    <t>Freq</t>
  </si>
  <si>
    <t>Word</t>
  </si>
  <si>
    <t>Word types</t>
  </si>
  <si>
    <t>Word tokens</t>
  </si>
  <si>
    <t>Pronoun type</t>
  </si>
  <si>
    <t>In-group</t>
  </si>
  <si>
    <t>Out-group</t>
  </si>
  <si>
    <t>Exclusive 'we'</t>
  </si>
  <si>
    <t>Inclusive 'we'</t>
  </si>
  <si>
    <t>Total</t>
  </si>
  <si>
    <t>victory</t>
  </si>
  <si>
    <t>foreign</t>
  </si>
  <si>
    <t>inaugural</t>
  </si>
  <si>
    <t>Freq %</t>
  </si>
  <si>
    <t>Speech</t>
  </si>
  <si>
    <t>tragedy</t>
  </si>
  <si>
    <t>sotu</t>
  </si>
  <si>
    <t>un</t>
  </si>
  <si>
    <t>Average</t>
  </si>
  <si>
    <t>St. dev</t>
  </si>
  <si>
    <t>Variance</t>
  </si>
  <si>
    <t>Pronouns/words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</si>
</sst>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Franklin Gothic Book"/>
      <family val="2"/>
      <scheme val="minor"/>
    </font>
    <font>
      <u/>
      <sz val="12"/>
      <color theme="10"/>
      <name val="Franklin Gothic Book"/>
      <family val="2"/>
      <scheme val="minor"/>
    </font>
    <font>
      <u/>
      <sz val="12"/>
      <color theme="11"/>
      <name val="Franklin Gothic Book"/>
      <family val="2"/>
      <scheme val="minor"/>
    </font>
    <font>
      <sz val="12"/>
      <color rgb="FF000000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sz val="12"/>
      <color rgb="FF3F3F76"/>
      <name val="Franklin Gothic Book"/>
      <family val="2"/>
      <scheme val="minor"/>
    </font>
    <font>
      <b/>
      <sz val="12"/>
      <color rgb="FFFA7D00"/>
      <name val="Franklin Gothic Book"/>
      <family val="2"/>
      <scheme val="minor"/>
    </font>
    <font>
      <b/>
      <sz val="12"/>
      <color theme="0"/>
      <name val="Franklin Gothic Book"/>
      <family val="2"/>
      <scheme val="minor"/>
    </font>
    <font>
      <b/>
      <sz val="12"/>
      <color theme="1"/>
      <name val="Franklin Gothic Book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1" applyNumberFormat="0" applyAlignment="0" applyProtection="0"/>
    <xf numFmtId="0" fontId="6" fillId="3" borderId="1" applyNumberFormat="0" applyAlignment="0" applyProtection="0"/>
    <xf numFmtId="0" fontId="8" fillId="0" borderId="2" applyNumberFormat="0" applyFill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7" fillId="6" borderId="0"/>
  </cellStyleXfs>
  <cellXfs count="11">
    <xf numFmtId="0" fontId="0" fillId="0" borderId="0" xfId="0"/>
    <xf numFmtId="0" fontId="3" fillId="0" borderId="0" xfId="0" applyFont="1"/>
    <xf numFmtId="0" fontId="5" fillId="2" borderId="1" xfId="137"/>
    <xf numFmtId="0" fontId="4" fillId="5" borderId="0" xfId="141"/>
    <xf numFmtId="0" fontId="8" fillId="0" borderId="2" xfId="139"/>
    <xf numFmtId="0" fontId="4" fillId="4" borderId="0" xfId="140"/>
    <xf numFmtId="0" fontId="6" fillId="3" borderId="1" xfId="138"/>
    <xf numFmtId="0" fontId="8" fillId="0" borderId="2" xfId="139" applyAlignment="1">
      <alignment horizontal="center"/>
    </xf>
    <xf numFmtId="0" fontId="0" fillId="0" borderId="0" xfId="0" applyAlignment="1"/>
    <xf numFmtId="0" fontId="7" fillId="6" borderId="0" xfId="0" applyFont="1" applyFill="1"/>
    <xf numFmtId="0" fontId="7" fillId="6" borderId="0" xfId="142"/>
  </cellXfs>
  <cellStyles count="143">
    <cellStyle name="60% - Accent2" xfId="140" builtinId="36"/>
    <cellStyle name="60% - Accent5" xfId="141" builtinId="48"/>
    <cellStyle name="Calculation" xfId="138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eading" xfId="142" xr:uid="{D85AED05-2E40-C640-8762-9ACB86AFF649}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Input" xfId="137" builtinId="20"/>
    <cellStyle name="Normal" xfId="0" builtinId="0"/>
    <cellStyle name="Total" xfId="139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D2" t="str">
            <v>In-group %</v>
          </cell>
          <cell r="F2" t="str">
            <v>Out-group %</v>
          </cell>
        </row>
        <row r="3">
          <cell r="D3">
            <v>0.55500000000000005</v>
          </cell>
          <cell r="F3">
            <v>0.44500000000000001</v>
          </cell>
        </row>
        <row r="4">
          <cell r="D4">
            <v>0.38181818181818183</v>
          </cell>
          <cell r="F4">
            <v>0.61818181818181817</v>
          </cell>
        </row>
        <row r="5">
          <cell r="D5">
            <v>0.83495145631067957</v>
          </cell>
          <cell r="F5">
            <v>0.1650485436893204</v>
          </cell>
        </row>
        <row r="6">
          <cell r="D6">
            <v>0.86206896551724133</v>
          </cell>
          <cell r="F6">
            <v>0.13793103448275862</v>
          </cell>
        </row>
        <row r="7">
          <cell r="D7">
            <v>0.62814070351758799</v>
          </cell>
          <cell r="F7">
            <v>0.37185929648241206</v>
          </cell>
        </row>
        <row r="8">
          <cell r="D8">
            <v>0.69230769230769229</v>
          </cell>
          <cell r="F8">
            <v>0.30769230769230771</v>
          </cell>
        </row>
        <row r="9">
          <cell r="D9">
            <v>0.73891625615763545</v>
          </cell>
          <cell r="F9">
            <v>0.26108374384236455</v>
          </cell>
        </row>
        <row r="10">
          <cell r="D10">
            <v>0.72222222222222221</v>
          </cell>
          <cell r="F10">
            <v>0.27777777777777779</v>
          </cell>
        </row>
        <row r="11">
          <cell r="D11">
            <v>0.4392361111111111</v>
          </cell>
          <cell r="F11">
            <v>0.56076388888888884</v>
          </cell>
        </row>
        <row r="12">
          <cell r="D12">
            <v>0.51538461538461533</v>
          </cell>
          <cell r="F12">
            <v>0.48461538461538461</v>
          </cell>
        </row>
        <row r="13">
          <cell r="D13">
            <v>0.46987951807228917</v>
          </cell>
          <cell r="F13">
            <v>0.53012048192771088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obama" adjustColumnWidth="0" connectionId="3" xr16:uid="{2A1A35AF-6B50-D14E-A2B3-9FAB04FA305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inaugural_obama" connectionId="2" xr16:uid="{00000000-0016-0000-0200-000000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foreign_obama" connectionId="1" xr16:uid="{00000000-0016-0000-0300-000001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tragedy_obama" connectionId="5" xr16:uid="{AA2FA15A-9E86-9B44-8C3A-9A6AE3E4588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sotu_obama" connectionId="4" xr16:uid="{00000000-0016-0000-0400-000002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un_obama" connectionId="6" xr16:uid="{00000000-0016-0000-0500-000003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9353-E58C-4340-B9D5-B8989564BCB5}">
  <dimension ref="A1:H25"/>
  <sheetViews>
    <sheetView workbookViewId="0">
      <selection activeCell="K19" sqref="K19"/>
    </sheetView>
  </sheetViews>
  <sheetFormatPr baseColWidth="10" defaultRowHeight="16" x14ac:dyDescent="0.2"/>
  <sheetData>
    <row r="1" spans="1:8" x14ac:dyDescent="0.2">
      <c r="A1" s="2" t="s">
        <v>21</v>
      </c>
      <c r="B1" s="2">
        <v>330</v>
      </c>
    </row>
    <row r="2" spans="1:8" x14ac:dyDescent="0.2">
      <c r="A2" s="2" t="s">
        <v>22</v>
      </c>
      <c r="B2" s="2">
        <v>21454</v>
      </c>
    </row>
    <row r="3" spans="1:8" x14ac:dyDescent="0.2">
      <c r="A3" s="2" t="s">
        <v>40</v>
      </c>
      <c r="B3" s="2">
        <f>C23/B2</f>
        <v>8.1616481774960378E-2</v>
      </c>
    </row>
    <row r="5" spans="1:8" x14ac:dyDescent="0.2">
      <c r="A5" s="9" t="s">
        <v>20</v>
      </c>
      <c r="B5" s="9" t="s">
        <v>18</v>
      </c>
      <c r="C5" s="9" t="s">
        <v>19</v>
      </c>
      <c r="D5" s="9" t="s">
        <v>32</v>
      </c>
      <c r="F5" s="10" t="s">
        <v>23</v>
      </c>
      <c r="G5" s="10" t="s">
        <v>19</v>
      </c>
      <c r="H5" s="10" t="s">
        <v>32</v>
      </c>
    </row>
    <row r="6" spans="1:8" x14ac:dyDescent="0.2">
      <c r="A6" s="3" t="s">
        <v>0</v>
      </c>
      <c r="B6" s="3">
        <v>5</v>
      </c>
      <c r="C6" s="3">
        <v>572</v>
      </c>
      <c r="D6" s="3">
        <f>C6/$C$23</f>
        <v>0.32667047401484867</v>
      </c>
      <c r="F6" s="3" t="s">
        <v>24</v>
      </c>
      <c r="G6" s="3">
        <f>SUM(G11,C7,C10,C12,C16,C22)</f>
        <v>966</v>
      </c>
      <c r="H6" s="3">
        <f>G6/G8</f>
        <v>0.5516847515705311</v>
      </c>
    </row>
    <row r="7" spans="1:8" x14ac:dyDescent="0.2">
      <c r="A7" s="3" t="s">
        <v>1</v>
      </c>
      <c r="B7" s="3">
        <v>8</v>
      </c>
      <c r="C7" s="3">
        <v>349</v>
      </c>
      <c r="D7" s="3">
        <f>C7/$C$23</f>
        <v>0.19931467732724156</v>
      </c>
      <c r="F7" s="5" t="s">
        <v>25</v>
      </c>
      <c r="G7" s="5">
        <f>SUM(G12,C8,C9,C11,C13,C14,C15,C17,C18,C19,C20,C21)</f>
        <v>785</v>
      </c>
      <c r="H7" s="5">
        <f>G7/G8</f>
        <v>0.44831524842946885</v>
      </c>
    </row>
    <row r="8" spans="1:8" ht="17" thickBot="1" x14ac:dyDescent="0.25">
      <c r="A8" s="5" t="s">
        <v>2</v>
      </c>
      <c r="B8" s="5">
        <v>11</v>
      </c>
      <c r="C8" s="5">
        <v>210</v>
      </c>
      <c r="D8" s="5">
        <f>C8/$C$23</f>
        <v>0.11993146773272416</v>
      </c>
      <c r="F8" s="4" t="s">
        <v>28</v>
      </c>
      <c r="G8" s="4">
        <f>SUM(G6:G7)</f>
        <v>1751</v>
      </c>
      <c r="H8" s="4">
        <f>SUM(H6:H7)</f>
        <v>1</v>
      </c>
    </row>
    <row r="9" spans="1:8" ht="17" thickTop="1" x14ac:dyDescent="0.2">
      <c r="A9" s="5" t="s">
        <v>3</v>
      </c>
      <c r="B9" s="5">
        <v>24</v>
      </c>
      <c r="C9" s="5">
        <v>116</v>
      </c>
      <c r="D9" s="5">
        <f>C9/$C$23</f>
        <v>6.6247858366647636E-2</v>
      </c>
    </row>
    <row r="10" spans="1:8" x14ac:dyDescent="0.2">
      <c r="A10" s="3" t="s">
        <v>5</v>
      </c>
      <c r="B10" s="3">
        <v>26</v>
      </c>
      <c r="C10" s="3">
        <v>112</v>
      </c>
      <c r="D10" s="3">
        <f>C10/$C$23</f>
        <v>6.3963449457452887E-2</v>
      </c>
      <c r="F10" s="10" t="s">
        <v>20</v>
      </c>
      <c r="G10" s="10" t="s">
        <v>19</v>
      </c>
      <c r="H10" s="10" t="s">
        <v>32</v>
      </c>
    </row>
    <row r="11" spans="1:8" x14ac:dyDescent="0.2">
      <c r="A11" s="5" t="s">
        <v>4</v>
      </c>
      <c r="B11" s="5">
        <v>32</v>
      </c>
      <c r="C11" s="5">
        <v>102</v>
      </c>
      <c r="D11" s="5">
        <f>C11/$C$23</f>
        <v>5.8252427184466021E-2</v>
      </c>
      <c r="F11" s="3" t="s">
        <v>27</v>
      </c>
      <c r="G11" s="3">
        <f>SUM(victory!G11,inaugural!G11,foreign!G11,tragedy!G11,sotu!G11,un!G11)</f>
        <v>391</v>
      </c>
      <c r="H11" s="3">
        <f ca="1">G11/G13</f>
        <v>0.68356643356643354</v>
      </c>
    </row>
    <row r="12" spans="1:8" x14ac:dyDescent="0.2">
      <c r="A12" s="3" t="s">
        <v>6</v>
      </c>
      <c r="B12" s="3">
        <v>33</v>
      </c>
      <c r="C12" s="3">
        <v>90</v>
      </c>
      <c r="D12" s="3">
        <f>C12/$C$23</f>
        <v>5.1399200456881781E-2</v>
      </c>
      <c r="F12" s="5" t="s">
        <v>26</v>
      </c>
      <c r="G12" s="5">
        <f>SUM(victory!G12,inaugural!G12,foreign!G12,tragedy!G12,sotu!G12,un!G12)</f>
        <v>181</v>
      </c>
      <c r="H12" s="5">
        <f ca="1">G12/G13</f>
        <v>0.31643356643356646</v>
      </c>
    </row>
    <row r="13" spans="1:8" ht="17" thickBot="1" x14ac:dyDescent="0.25">
      <c r="A13" s="5" t="s">
        <v>7</v>
      </c>
      <c r="B13" s="5">
        <v>64</v>
      </c>
      <c r="C13" s="5">
        <v>45</v>
      </c>
      <c r="D13" s="5">
        <f>C13/$C$23</f>
        <v>2.5699600228440891E-2</v>
      </c>
      <c r="F13" s="4" t="s">
        <v>28</v>
      </c>
      <c r="G13" s="4">
        <f ca="1">SUM(G12:G14)</f>
        <v>572</v>
      </c>
      <c r="H13" s="4">
        <f ca="1">SUM(H12:H14)</f>
        <v>1</v>
      </c>
    </row>
    <row r="14" spans="1:8" ht="17" thickTop="1" x14ac:dyDescent="0.2">
      <c r="A14" s="5" t="s">
        <v>8</v>
      </c>
      <c r="B14" s="5">
        <v>65</v>
      </c>
      <c r="C14" s="5">
        <v>45</v>
      </c>
      <c r="D14" s="5">
        <f>C14/$C$23</f>
        <v>2.5699600228440891E-2</v>
      </c>
    </row>
    <row r="15" spans="1:8" x14ac:dyDescent="0.2">
      <c r="A15" s="5" t="s">
        <v>9</v>
      </c>
      <c r="B15" s="5">
        <v>123</v>
      </c>
      <c r="C15" s="5">
        <v>23</v>
      </c>
      <c r="D15" s="5">
        <f>C15/$C$23</f>
        <v>1.3135351227869789E-2</v>
      </c>
    </row>
    <row r="16" spans="1:8" x14ac:dyDescent="0.2">
      <c r="A16" s="3" t="s">
        <v>12</v>
      </c>
      <c r="B16" s="3">
        <v>130</v>
      </c>
      <c r="C16" s="3">
        <v>23</v>
      </c>
      <c r="D16" s="3">
        <f>C16/$C$23</f>
        <v>1.3135351227869789E-2</v>
      </c>
    </row>
    <row r="17" spans="1:4" x14ac:dyDescent="0.2">
      <c r="A17" s="5" t="s">
        <v>10</v>
      </c>
      <c r="B17" s="5">
        <v>142</v>
      </c>
      <c r="C17" s="5">
        <v>21</v>
      </c>
      <c r="D17" s="5">
        <f>C17/$C$23</f>
        <v>1.1993146773272416E-2</v>
      </c>
    </row>
    <row r="18" spans="1:4" x14ac:dyDescent="0.2">
      <c r="A18" s="5" t="s">
        <v>11</v>
      </c>
      <c r="B18" s="5">
        <v>161</v>
      </c>
      <c r="C18" s="5">
        <v>18</v>
      </c>
      <c r="D18" s="5">
        <f>C18/$C$23</f>
        <v>1.0279840091376356E-2</v>
      </c>
    </row>
    <row r="19" spans="1:4" x14ac:dyDescent="0.2">
      <c r="A19" s="5" t="s">
        <v>13</v>
      </c>
      <c r="B19" s="5">
        <v>226</v>
      </c>
      <c r="C19" s="5">
        <v>13</v>
      </c>
      <c r="D19" s="5">
        <f>C19/$C$23</f>
        <v>7.4243289548829245E-3</v>
      </c>
    </row>
    <row r="20" spans="1:4" x14ac:dyDescent="0.2">
      <c r="A20" s="5" t="s">
        <v>14</v>
      </c>
      <c r="B20" s="5">
        <v>282</v>
      </c>
      <c r="C20" s="5">
        <v>10</v>
      </c>
      <c r="D20" s="5">
        <f>C20/$C$23</f>
        <v>5.7110222729868645E-3</v>
      </c>
    </row>
    <row r="21" spans="1:4" x14ac:dyDescent="0.2">
      <c r="A21" s="5" t="s">
        <v>16</v>
      </c>
      <c r="B21" s="5">
        <v>2312</v>
      </c>
      <c r="C21" s="5">
        <v>1</v>
      </c>
      <c r="D21" s="5">
        <f>C21/$C$23</f>
        <v>5.7110222729868647E-4</v>
      </c>
    </row>
    <row r="22" spans="1:4" x14ac:dyDescent="0.2">
      <c r="A22" s="3" t="s">
        <v>17</v>
      </c>
      <c r="B22" s="3">
        <v>3298</v>
      </c>
      <c r="C22" s="3">
        <v>1</v>
      </c>
      <c r="D22" s="3">
        <f>C22/$C$23</f>
        <v>5.7110222729868647E-4</v>
      </c>
    </row>
    <row r="23" spans="1:4" ht="17" thickBot="1" x14ac:dyDescent="0.25">
      <c r="A23" s="7" t="s">
        <v>28</v>
      </c>
      <c r="B23" s="7"/>
      <c r="C23" s="4">
        <f>SUM(C6:C22)</f>
        <v>1751</v>
      </c>
      <c r="D23" s="4">
        <f>SUM(D6:D22)</f>
        <v>0.99999999999999989</v>
      </c>
    </row>
    <row r="24" spans="1:4" ht="17" thickTop="1" x14ac:dyDescent="0.2"/>
    <row r="25" spans="1:4" x14ac:dyDescent="0.2">
      <c r="A25" s="8"/>
      <c r="B25" s="8"/>
    </row>
  </sheetData>
  <sortState ref="A6:E22">
    <sortCondition ref="A6:A22"/>
  </sortState>
  <mergeCells count="1"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1F1C-7D8D-FE49-8888-D644261FC629}">
  <dimension ref="A1:R80"/>
  <sheetViews>
    <sheetView zoomScaleNormal="100" workbookViewId="0">
      <selection activeCell="C20" sqref="C20"/>
    </sheetView>
  </sheetViews>
  <sheetFormatPr baseColWidth="10" defaultRowHeight="16" x14ac:dyDescent="0.2"/>
  <cols>
    <col min="20" max="25" width="9.28515625"/>
    <col min="26" max="26" width="11.28515625" bestFit="1" customWidth="1"/>
    <col min="27" max="27" width="9.28515625"/>
  </cols>
  <sheetData>
    <row r="1" spans="1:18" x14ac:dyDescent="0.2">
      <c r="A1" s="2" t="s">
        <v>21</v>
      </c>
      <c r="B1" s="2">
        <v>330</v>
      </c>
    </row>
    <row r="2" spans="1:18" x14ac:dyDescent="0.2">
      <c r="A2" s="2" t="s">
        <v>22</v>
      </c>
      <c r="B2" s="2">
        <v>21454</v>
      </c>
    </row>
    <row r="4" spans="1:18" x14ac:dyDescent="0.2">
      <c r="A4" s="3" t="s">
        <v>24</v>
      </c>
      <c r="E4" s="3" t="s">
        <v>0</v>
      </c>
      <c r="J4" s="3" t="s">
        <v>6</v>
      </c>
      <c r="O4" s="3" t="s">
        <v>1</v>
      </c>
    </row>
    <row r="5" spans="1:18" x14ac:dyDescent="0.2">
      <c r="A5" s="10" t="s">
        <v>33</v>
      </c>
      <c r="B5" s="10" t="s">
        <v>19</v>
      </c>
      <c r="C5" s="10" t="s">
        <v>32</v>
      </c>
      <c r="E5" s="10" t="s">
        <v>33</v>
      </c>
      <c r="F5" s="10" t="s">
        <v>18</v>
      </c>
      <c r="G5" s="10" t="s">
        <v>19</v>
      </c>
      <c r="H5" s="10" t="s">
        <v>32</v>
      </c>
      <c r="J5" s="10" t="s">
        <v>33</v>
      </c>
      <c r="K5" s="10" t="s">
        <v>18</v>
      </c>
      <c r="L5" s="10" t="s">
        <v>19</v>
      </c>
      <c r="M5" s="10" t="s">
        <v>32</v>
      </c>
      <c r="O5" s="10" t="s">
        <v>33</v>
      </c>
      <c r="P5" s="10" t="s">
        <v>18</v>
      </c>
      <c r="Q5" s="10" t="s">
        <v>19</v>
      </c>
      <c r="R5" s="10" t="s">
        <v>32</v>
      </c>
    </row>
    <row r="6" spans="1:18" x14ac:dyDescent="0.2">
      <c r="A6" s="3" t="s">
        <v>29</v>
      </c>
      <c r="B6" s="3">
        <f>VLOOKUP(A4,victory!$F$6:$H$7,2,FALSE)</f>
        <v>111</v>
      </c>
      <c r="C6" s="3">
        <f>VLOOKUP(A4,victory!$F$6:$H$7,3,FALSE)</f>
        <v>0.55500000000000005</v>
      </c>
      <c r="E6" s="3" t="s">
        <v>29</v>
      </c>
      <c r="F6" s="3">
        <f>VLOOKUP(E4,victory!$A$6:$D$21,2,FALSE)</f>
        <v>5</v>
      </c>
      <c r="G6" s="3">
        <f>VLOOKUP(E4,victory!$A$6:$D$21,3,FALSE)</f>
        <v>47</v>
      </c>
      <c r="H6" s="3">
        <f>VLOOKUP(E4,victory!$A$6:$D$21,4,FALSE)</f>
        <v>0.23499999999999999</v>
      </c>
      <c r="J6" s="3" t="s">
        <v>29</v>
      </c>
      <c r="K6" s="3">
        <f>VLOOKUP(J4,victory!$A$6:$D$21,2,FALSE)</f>
        <v>33</v>
      </c>
      <c r="L6" s="3">
        <f>VLOOKUP(J4,victory!$A$6:$D$21,3,FALSE)</f>
        <v>12</v>
      </c>
      <c r="M6" s="3">
        <f>VLOOKUP(J4,victory!$A$6:$D$21,4,FALSE)</f>
        <v>0.06</v>
      </c>
      <c r="O6" s="3" t="s">
        <v>29</v>
      </c>
      <c r="P6" s="3">
        <f>VLOOKUP(O4,victory!$A$6:$D$21,2,FALSE)</f>
        <v>13</v>
      </c>
      <c r="Q6" s="3">
        <f>VLOOKUP(O4,victory!$A$6:$D$21,3,FALSE)</f>
        <v>26</v>
      </c>
      <c r="R6" s="3">
        <f>VLOOKUP(O4,victory!$A$6:$D$21,4,FALSE)</f>
        <v>0.13</v>
      </c>
    </row>
    <row r="7" spans="1:18" x14ac:dyDescent="0.2">
      <c r="A7" s="3" t="s">
        <v>31</v>
      </c>
      <c r="B7" s="3">
        <f>VLOOKUP(A4,inaugural!$F$6:$H$7,2,FALSE)</f>
        <v>172</v>
      </c>
      <c r="C7" s="3">
        <f>VLOOKUP(A4,inaugural!$F$6:$H$7,3,FALSE)</f>
        <v>0.83495145631067957</v>
      </c>
      <c r="E7" s="3" t="s">
        <v>31</v>
      </c>
      <c r="F7" s="3">
        <f>VLOOKUP(E4,inaugural!$A$6:$D$21,2,FALSE)</f>
        <v>6</v>
      </c>
      <c r="G7" s="3">
        <f>VLOOKUP(E4,inaugural!$A$6:$D$21,3,FALSE)</f>
        <v>62</v>
      </c>
      <c r="H7" s="3">
        <f>VLOOKUP(E4,inaugural!$A$6:$D$21,4,FALSE)</f>
        <v>0.30097087378640774</v>
      </c>
      <c r="J7" s="3" t="s">
        <v>31</v>
      </c>
      <c r="K7" s="3">
        <f>VLOOKUP(J4,inaugural!$A$6:$D$21,2,FALSE)</f>
        <v>13</v>
      </c>
      <c r="L7" s="3">
        <f>VLOOKUP(J4,inaugural!$A$6:$D$21,3,FALSE)</f>
        <v>23</v>
      </c>
      <c r="M7" s="3">
        <f>VLOOKUP(J4,inaugural!$A$6:$D$21,4,FALSE)</f>
        <v>0.11165048543689321</v>
      </c>
      <c r="O7" s="3" t="s">
        <v>31</v>
      </c>
      <c r="P7" s="3">
        <f>VLOOKUP(O4,inaugural!$A$6:$D$21,2,FALSE)</f>
        <v>5</v>
      </c>
      <c r="Q7" s="3">
        <f>VLOOKUP(O4,inaugural!$A$6:$D$21,3,FALSE)</f>
        <v>68</v>
      </c>
      <c r="R7" s="3">
        <f>VLOOKUP(O4,inaugural!$A$6:$D$21,4,FALSE)</f>
        <v>0.3300970873786408</v>
      </c>
    </row>
    <row r="8" spans="1:18" x14ac:dyDescent="0.2">
      <c r="A8" s="3" t="s">
        <v>30</v>
      </c>
      <c r="B8" s="3">
        <f>VLOOKUP(A4,foreign!$F$6:$H$7,2,FALSE)</f>
        <v>125</v>
      </c>
      <c r="C8" s="3">
        <f>VLOOKUP(A4,foreign!$F$6:$H$7,3,FALSE)</f>
        <v>0.62814070351758799</v>
      </c>
      <c r="E8" s="3" t="s">
        <v>30</v>
      </c>
      <c r="F8" s="3">
        <f>VLOOKUP(E4,foreign!$A$6:$D$21,2,FALSE)</f>
        <v>5</v>
      </c>
      <c r="G8" s="3">
        <f>VLOOKUP(E4,foreign!$A$6:$D$21,3,FALSE)</f>
        <v>73</v>
      </c>
      <c r="H8" s="3">
        <f>VLOOKUP(E4,foreign!$A$6:$D$21,4,FALSE)</f>
        <v>0.36683417085427134</v>
      </c>
      <c r="J8" s="3" t="s">
        <v>30</v>
      </c>
      <c r="K8" s="3">
        <f>VLOOKUP(J4,foreign!$A$6:$D$21,2,FALSE)</f>
        <v>181</v>
      </c>
      <c r="L8" s="3">
        <f>VLOOKUP(J4,foreign!$A$6:$D$21,3,FALSE)</f>
        <v>3</v>
      </c>
      <c r="M8" s="3">
        <f>VLOOKUP(J4,foreign!$A$6:$D$21,4,FALSE)</f>
        <v>1.507537688442211E-2</v>
      </c>
      <c r="O8" s="3" t="s">
        <v>30</v>
      </c>
      <c r="P8" s="3">
        <f>VLOOKUP(O4,foreign!$A$6:$D$21,2,FALSE)</f>
        <v>9</v>
      </c>
      <c r="Q8" s="3">
        <f>VLOOKUP(O4,foreign!$A$6:$D$21,3,FALSE)</f>
        <v>43</v>
      </c>
      <c r="R8" s="3">
        <f>VLOOKUP(O4,foreign!$A$6:$D$21,4,FALSE)</f>
        <v>0.21608040201005024</v>
      </c>
    </row>
    <row r="9" spans="1:18" x14ac:dyDescent="0.2">
      <c r="A9" s="3" t="s">
        <v>34</v>
      </c>
      <c r="B9" s="3">
        <f>VLOOKUP(A4,tragedy!$F$6:$H$7,2,FALSE)</f>
        <v>150</v>
      </c>
      <c r="C9" s="3">
        <f>VLOOKUP(A4,tragedy!$F$6:$H$7,3,FALSE)</f>
        <v>0.73891625615763545</v>
      </c>
      <c r="E9" s="3" t="s">
        <v>34</v>
      </c>
      <c r="F9" s="3">
        <f>VLOOKUP(E4,tragedy!$A$6:$D$21,2,FALSE)</f>
        <v>1</v>
      </c>
      <c r="G9" s="3">
        <f>VLOOKUP(E4,tragedy!$A$6:$D$21,3,FALSE)</f>
        <v>90</v>
      </c>
      <c r="H9" s="3">
        <f>VLOOKUP(E4,tragedy!$A$6:$D$21,4,FALSE)</f>
        <v>0.44334975369458129</v>
      </c>
      <c r="J9" s="3" t="s">
        <v>34</v>
      </c>
      <c r="K9" s="3">
        <f>VLOOKUP(J4,tragedy!$A$6:$D$21,2,FALSE)</f>
        <v>23</v>
      </c>
      <c r="L9" s="3">
        <f>VLOOKUP(J4,tragedy!$A$6:$D$21,3,FALSE)</f>
        <v>14</v>
      </c>
      <c r="M9" s="3">
        <f>VLOOKUP(J4,tragedy!$A$6:$D$21,4,FALSE)</f>
        <v>6.8965517241379309E-2</v>
      </c>
      <c r="O9" s="3" t="s">
        <v>34</v>
      </c>
      <c r="P9" s="3">
        <f>VLOOKUP(O4,tragedy!$A$6:$D$21,2,FALSE)</f>
        <v>8</v>
      </c>
      <c r="Q9" s="3">
        <f>VLOOKUP(O4,tragedy!$A$6:$D$21,3,FALSE)</f>
        <v>26</v>
      </c>
      <c r="R9" s="3">
        <f>VLOOKUP(O4,tragedy!$A$6:$D$21,4,FALSE)</f>
        <v>0.12807881773399016</v>
      </c>
    </row>
    <row r="10" spans="1:18" x14ac:dyDescent="0.2">
      <c r="A10" s="3" t="s">
        <v>35</v>
      </c>
      <c r="B10" s="3">
        <f>VLOOKUP(A4,sotu!$F$6:$H$7,2,FALSE)</f>
        <v>253</v>
      </c>
      <c r="C10" s="3">
        <f>VLOOKUP(A4,sotu!$F$6:$H$7,3,FALSE)</f>
        <v>0.4392361111111111</v>
      </c>
      <c r="E10" s="3" t="s">
        <v>35</v>
      </c>
      <c r="F10" s="3">
        <f>VLOOKUP(E4,sotu!$A$6:$D$21,2,FALSE)</f>
        <v>5</v>
      </c>
      <c r="G10" s="3">
        <f>VLOOKUP(E4,sotu!$A$6:$D$21,3,FALSE)</f>
        <v>172</v>
      </c>
      <c r="H10" s="3">
        <f>VLOOKUP(E4,sotu!$A$6:$D$21,4,FALSE)</f>
        <v>0.2986111111111111</v>
      </c>
      <c r="J10" s="3" t="s">
        <v>35</v>
      </c>
      <c r="K10" s="3">
        <f>VLOOKUP(J4,sotu!$A$6:$D$21,2,FALSE)</f>
        <v>63</v>
      </c>
      <c r="L10" s="3">
        <f>VLOOKUP(J4,sotu!$A$6:$D$21,3,FALSE)</f>
        <v>19</v>
      </c>
      <c r="M10" s="3">
        <f>VLOOKUP(J4,sotu!$A$6:$D$21,4,FALSE)</f>
        <v>3.2986111111111112E-2</v>
      </c>
      <c r="O10" s="3" t="s">
        <v>35</v>
      </c>
      <c r="P10" s="3">
        <f>VLOOKUP(O4,sotu!$A$6:$D$21,2,FALSE)</f>
        <v>8</v>
      </c>
      <c r="Q10" s="3">
        <f>VLOOKUP(O4,sotu!$A$6:$D$21,3,FALSE)</f>
        <v>122</v>
      </c>
      <c r="R10" s="3">
        <f>VLOOKUP(O4,sotu!$A$6:$D$21,4,FALSE)</f>
        <v>0.21180555555555555</v>
      </c>
    </row>
    <row r="11" spans="1:18" x14ac:dyDescent="0.2">
      <c r="A11" s="3" t="s">
        <v>36</v>
      </c>
      <c r="B11" s="3">
        <f>VLOOKUP(A4,un!$F$6:$H$7,2,FALSE)</f>
        <v>156</v>
      </c>
      <c r="C11" s="3">
        <f>VLOOKUP(A4,un!$F$6:$H$7,3,FALSE)</f>
        <v>0.46987951807228917</v>
      </c>
      <c r="E11" s="3" t="s">
        <v>36</v>
      </c>
      <c r="F11" s="3">
        <f>VLOOKUP(E4,un!$A$6:$D$20,2,FALSE)</f>
        <v>6</v>
      </c>
      <c r="G11" s="3">
        <f>VLOOKUP(E4,un!$A$6:$D$20,3,FALSE)</f>
        <v>128</v>
      </c>
      <c r="H11" s="3">
        <f>VLOOKUP(E4,un!$A$6:$D$20,4,FALSE)</f>
        <v>0.38554216867469882</v>
      </c>
      <c r="J11" s="3" t="s">
        <v>36</v>
      </c>
      <c r="K11" s="3">
        <f>VLOOKUP(J4,un!$A$6:$D$20,2,FALSE)</f>
        <v>39</v>
      </c>
      <c r="L11" s="3">
        <f>VLOOKUP(J4,un!$A$6:$D$20,3,FALSE)</f>
        <v>19</v>
      </c>
      <c r="M11" s="3">
        <f>VLOOKUP(J4,un!$A$6:$D$20,4,FALSE)</f>
        <v>5.7228915662650599E-2</v>
      </c>
      <c r="O11" s="3" t="s">
        <v>36</v>
      </c>
      <c r="P11" s="3">
        <f>VLOOKUP(O4,un!$A$6:$D$20,2,FALSE)</f>
        <v>11</v>
      </c>
      <c r="Q11" s="3">
        <f>VLOOKUP(O4,un!$A$6:$D$20,3,FALSE)</f>
        <v>64</v>
      </c>
      <c r="R11" s="3">
        <f>VLOOKUP(O4,un!$A$6:$D$20,4,FALSE)</f>
        <v>0.19277108433734941</v>
      </c>
    </row>
    <row r="12" spans="1:18" ht="17" thickBot="1" x14ac:dyDescent="0.25">
      <c r="A12" s="4" t="s">
        <v>28</v>
      </c>
      <c r="B12" s="4">
        <f>SUM(B6:B11)</f>
        <v>967</v>
      </c>
      <c r="E12" s="7" t="s">
        <v>28</v>
      </c>
      <c r="F12" s="7"/>
      <c r="G12" s="4">
        <f t="array" ref="G12">SUM(IF(NOT(ISNA(G6:G11)),G6:G11,""))</f>
        <v>572</v>
      </c>
      <c r="J12" s="7" t="s">
        <v>28</v>
      </c>
      <c r="K12" s="7"/>
      <c r="L12" s="4">
        <f t="array" ref="L12">SUM(IF(NOT(ISNA(L6:L11)),L6:L11,""))</f>
        <v>90</v>
      </c>
      <c r="O12" s="7" t="s">
        <v>28</v>
      </c>
      <c r="P12" s="7"/>
      <c r="Q12" s="4">
        <f t="array" ref="Q12">SUM(IF(NOT(ISNA(Q6:Q11)),Q6:Q11,""))</f>
        <v>349</v>
      </c>
    </row>
    <row r="13" spans="1:18" ht="17" thickTop="1" x14ac:dyDescent="0.2">
      <c r="A13" s="6" t="s">
        <v>37</v>
      </c>
      <c r="B13" s="6">
        <f>AVERAGE(B6:B11)</f>
        <v>161.16666666666666</v>
      </c>
      <c r="C13" s="6">
        <f>AVERAGE(C6:C11)</f>
        <v>0.61102067419488393</v>
      </c>
      <c r="E13" s="6" t="s">
        <v>37</v>
      </c>
      <c r="F13" s="6">
        <f>IFERROR(AVERAGEIF(F6:F11,"&lt;&gt;#N/A"),"")</f>
        <v>4.666666666666667</v>
      </c>
      <c r="G13" s="6">
        <f>IFERROR(AVERAGEIF(G6:G11,"&lt;&gt;#N/A"),"")</f>
        <v>95.333333333333329</v>
      </c>
      <c r="H13" s="6">
        <f>IFERROR(AVERAGEIF(H6:H11,"&lt;&gt;#N/A"),"")</f>
        <v>0.33838467968684505</v>
      </c>
      <c r="J13" s="6" t="s">
        <v>37</v>
      </c>
      <c r="K13" s="6">
        <f>IFERROR(AVERAGEIF(K6:K11,"&lt;&gt;#N/A"),"")</f>
        <v>58.666666666666664</v>
      </c>
      <c r="L13" s="6">
        <f>IFERROR(AVERAGEIF(L6:L11,"&lt;&gt;#N/A"),"")</f>
        <v>15</v>
      </c>
      <c r="M13" s="6">
        <f>IFERROR(AVERAGEIF(M6:M11,"&lt;&gt;#N/A"),"")</f>
        <v>5.765106772274272E-2</v>
      </c>
      <c r="O13" s="6" t="s">
        <v>37</v>
      </c>
      <c r="P13" s="6">
        <f>IFERROR(AVERAGEIF(P6:P11,"&lt;&gt;#N/A"),"")</f>
        <v>9</v>
      </c>
      <c r="Q13" s="6">
        <f>IFERROR(AVERAGEIF(Q6:Q11,"&lt;&gt;#N/A"),"")</f>
        <v>58.166666666666664</v>
      </c>
      <c r="R13" s="6">
        <f>IFERROR(AVERAGEIF(R6:R11,"&lt;&gt;#N/A"),"")</f>
        <v>0.201472157835931</v>
      </c>
    </row>
    <row r="14" spans="1:18" x14ac:dyDescent="0.2">
      <c r="A14" s="6" t="s">
        <v>38</v>
      </c>
      <c r="B14" s="6">
        <f>_xlfn.STDEV.S(B6:B11)</f>
        <v>50.053637896427354</v>
      </c>
      <c r="C14" s="6">
        <f>STDEV(C6:C11)</f>
        <v>0.15450854246374029</v>
      </c>
      <c r="E14" s="6" t="s">
        <v>38</v>
      </c>
      <c r="F14" s="6">
        <f t="array" ref="F14">IF(COUNT(F6:F11)&gt;1,_xlfn.STDEV.S(IF(NOT(ISNA(F6:F11)),F6:F11,"")),0)</f>
        <v>1.8618986725025259</v>
      </c>
      <c r="G14" s="6">
        <f t="array" ref="G14">IF(COUNT(G6:G11)&gt;1,_xlfn.STDEV.S(IF(NOT(ISNA(G6:G11)),G6:G11,"")),0)</f>
        <v>46.731859225443486</v>
      </c>
      <c r="H14" s="6">
        <f t="array" ref="H14">IF(COUNT(H6:H11)&gt;1,_xlfn.STDEV.S(IF(NOT(ISNA(H6:H11)),H6:H11,"")),0)</f>
        <v>7.4459372411981015E-2</v>
      </c>
      <c r="J14" s="6" t="s">
        <v>38</v>
      </c>
      <c r="K14" s="6">
        <f t="array" ref="K14">IF(COUNT(K6:K11)&gt;1,_xlfn.STDEV.S(IF(NOT(ISNA(K6:K11)),K6:K11,"")),0)</f>
        <v>62.269307581397321</v>
      </c>
      <c r="L14" s="6">
        <f t="array" ref="L14">IF(COUNT(L6:L11)&gt;1,_xlfn.STDEV.S(IF(NOT(ISNA(L6:L11)),L6:L11,"")),0)</f>
        <v>7.0710678118654755</v>
      </c>
      <c r="M14" s="6">
        <f t="array" ref="M14">IF(COUNT(M6:M11)&gt;1,_xlfn.STDEV.S(IF(NOT(ISNA(M6:M11)),M6:M11,"")),0)</f>
        <v>3.3077784422769298E-2</v>
      </c>
      <c r="O14" s="6" t="s">
        <v>38</v>
      </c>
      <c r="P14" s="6">
        <f t="array" ref="P14">IF(COUNT(P6:P11)&gt;1,_xlfn.STDEV.S(IF(NOT(ISNA(P6:P11)),P6:P11,"")),0)</f>
        <v>2.7568097504180442</v>
      </c>
      <c r="Q14" s="6">
        <f t="array" ref="Q14">IF(COUNT(Q6:Q11)&gt;1,_xlfn.STDEV.S(IF(NOT(ISNA(Q6:Q11)),Q6:Q11,"")),0)</f>
        <v>36.068915518305602</v>
      </c>
      <c r="R14" s="6">
        <f t="array" ref="R14">IF(COUNT(R6:R11)&gt;1,_xlfn.STDEV.S(IF(NOT(ISNA(R6:R11)),R6:R11,"")),0)</f>
        <v>7.4074439320484686E-2</v>
      </c>
    </row>
    <row r="15" spans="1:18" x14ac:dyDescent="0.2">
      <c r="A15" s="6" t="s">
        <v>39</v>
      </c>
      <c r="B15" s="6">
        <f>_xlfn.VAR.S(B6:B11)</f>
        <v>2505.3666666666686</v>
      </c>
      <c r="C15" s="6">
        <f>_xlfn.VAR.S(C6:C11)</f>
        <v>2.3872889694269438E-2</v>
      </c>
      <c r="E15" s="6" t="s">
        <v>39</v>
      </c>
      <c r="F15" s="6">
        <f t="array" ref="F15">IF(COUNT(F6:F11)&gt;1,_xlfn.VAR.S(IF(NOT(ISNA(F6:F11)),F6:F11,"")),0)</f>
        <v>3.4666666666666686</v>
      </c>
      <c r="G15" s="6">
        <f t="array" ref="G15">IF(COUNT(G6:G11)&gt;1,_xlfn.VAR.S(IF(NOT(ISNA(G6:G11)),G6:G11,"")),0)</f>
        <v>2183.8666666666672</v>
      </c>
      <c r="H15" s="6">
        <f t="array" ref="H15">IF(COUNT(H6:H11)&gt;1,_xlfn.VAR.S(IF(NOT(ISNA(H6:H11)),H6:H11,"")),0)</f>
        <v>5.5441981399860785E-3</v>
      </c>
      <c r="J15" s="6" t="s">
        <v>39</v>
      </c>
      <c r="K15" s="6">
        <f t="array" ref="K15">IF(COUNT(K6:K11)&gt;1,_xlfn.VAR.S(IF(NOT(ISNA(K6:K11)),K6:K11,"")),0)</f>
        <v>3877.4666666666662</v>
      </c>
      <c r="L15" s="6">
        <f t="array" ref="L15">IF(COUNT(L6:L11)&gt;1,_xlfn.VAR.S(IF(NOT(ISNA(L6:L11)),L6:L11,"")),0)</f>
        <v>50</v>
      </c>
      <c r="M15" s="6">
        <f t="array" ref="M15">IF(COUNT(M6:M11)&gt;1,_xlfn.VAR.S(IF(NOT(ISNA(M6:M11)),M6:M11,"")),0)</f>
        <v>1.0941398223191991E-3</v>
      </c>
      <c r="O15" s="6" t="s">
        <v>39</v>
      </c>
      <c r="P15" s="6">
        <f t="array" ref="P15">IF(COUNT(P6:P11)&gt;1,_xlfn.VAR.S(IF(NOT(ISNA(P6:P11)),P6:P11,"")),0)</f>
        <v>7.6</v>
      </c>
      <c r="Q15" s="6">
        <f t="array" ref="Q15">IF(COUNT(Q6:Q11)&gt;1,_xlfn.VAR.S(IF(NOT(ISNA(Q6:Q11)),Q6:Q11,"")),0)</f>
        <v>1300.9666666666665</v>
      </c>
      <c r="R15" s="6">
        <f t="array" ref="R15">IF(COUNT(R6:R11)&gt;1,_xlfn.VAR.S(IF(NOT(ISNA(R6:R11)),R6:R11,"")),0)</f>
        <v>5.4870225606441668E-3</v>
      </c>
    </row>
    <row r="17" spans="1:18" x14ac:dyDescent="0.2">
      <c r="E17" s="3" t="s">
        <v>5</v>
      </c>
      <c r="J17" s="3" t="s">
        <v>12</v>
      </c>
      <c r="O17" s="3" t="s">
        <v>17</v>
      </c>
    </row>
    <row r="18" spans="1:18" x14ac:dyDescent="0.2">
      <c r="E18" s="10" t="s">
        <v>33</v>
      </c>
      <c r="F18" s="10" t="s">
        <v>18</v>
      </c>
      <c r="G18" s="10" t="s">
        <v>19</v>
      </c>
      <c r="H18" s="10" t="s">
        <v>32</v>
      </c>
      <c r="J18" s="10" t="s">
        <v>33</v>
      </c>
      <c r="K18" s="10" t="s">
        <v>18</v>
      </c>
      <c r="L18" s="10" t="s">
        <v>19</v>
      </c>
      <c r="M18" s="10" t="s">
        <v>32</v>
      </c>
      <c r="O18" s="10" t="s">
        <v>33</v>
      </c>
      <c r="P18" s="10" t="s">
        <v>18</v>
      </c>
      <c r="Q18" s="10" t="s">
        <v>19</v>
      </c>
      <c r="R18" s="10" t="s">
        <v>32</v>
      </c>
    </row>
    <row r="19" spans="1:18" x14ac:dyDescent="0.2">
      <c r="E19" s="3" t="s">
        <v>29</v>
      </c>
      <c r="F19" s="3">
        <f>VLOOKUP(E17,victory!$A$6:$D$21,2,FALSE)</f>
        <v>15</v>
      </c>
      <c r="G19" s="3">
        <f>VLOOKUP(E17,victory!$A$6:$D$21,3,FALSE)</f>
        <v>22</v>
      </c>
      <c r="H19" s="3">
        <f>VLOOKUP(E17,victory!$A$6:$D$21,4,FALSE)</f>
        <v>0.11</v>
      </c>
      <c r="J19" s="3" t="s">
        <v>29</v>
      </c>
      <c r="K19" s="3">
        <f>VLOOKUP(J17,victory!$A$6:$D$21,2,FALSE)</f>
        <v>63</v>
      </c>
      <c r="L19" s="3">
        <f>VLOOKUP(J17,victory!$A$6:$D$21,3,FALSE)</f>
        <v>6</v>
      </c>
      <c r="M19" s="3">
        <f>VLOOKUP(J17,victory!$A$6:$D$21,4,FALSE)</f>
        <v>0.03</v>
      </c>
      <c r="O19" s="3" t="s">
        <v>29</v>
      </c>
      <c r="P19" s="3" t="e">
        <f>VLOOKUP(O17,victory!$A$6:$D$21,2,FALSE)</f>
        <v>#N/A</v>
      </c>
      <c r="Q19" s="3" t="e">
        <f>VLOOKUP(O17,victory!$A$6:$D$21,3,FALSE)</f>
        <v>#N/A</v>
      </c>
      <c r="R19" s="3" t="e">
        <f>VLOOKUP(O17,victory!$A$6:$D$21,4,FALSE)</f>
        <v>#N/A</v>
      </c>
    </row>
    <row r="20" spans="1:18" x14ac:dyDescent="0.2">
      <c r="E20" s="3" t="s">
        <v>31</v>
      </c>
      <c r="F20" s="3">
        <f>VLOOKUP(E17,inaugural!$A$6:$D$21,2,FALSE)</f>
        <v>21</v>
      </c>
      <c r="G20" s="3">
        <f>VLOOKUP(E17,inaugural!$A$6:$D$21,3,FALSE)</f>
        <v>16</v>
      </c>
      <c r="H20" s="3">
        <f>VLOOKUP(E17,inaugural!$A$6:$D$21,4,FALSE)</f>
        <v>7.7669902912621352E-2</v>
      </c>
      <c r="J20" s="3" t="s">
        <v>31</v>
      </c>
      <c r="K20" s="3">
        <f>VLOOKUP(J17,inaugural!$A$6:$D$21,2,FALSE)</f>
        <v>144</v>
      </c>
      <c r="L20" s="3">
        <f>VLOOKUP(J17,inaugural!$A$6:$D$21,3,FALSE)</f>
        <v>3</v>
      </c>
      <c r="M20" s="3">
        <f>VLOOKUP(J17,inaugural!$A$6:$D$21,4,FALSE)</f>
        <v>1.4563106796116505E-2</v>
      </c>
      <c r="O20" s="3" t="s">
        <v>31</v>
      </c>
      <c r="P20" s="3" t="e">
        <f>VLOOKUP(O17,inaugural!$A$6:$D$21,2,FALSE)</f>
        <v>#N/A</v>
      </c>
      <c r="Q20" s="3" t="e">
        <f>VLOOKUP(O17,inaugural!$A$6:$D$21,3,FALSE)</f>
        <v>#N/A</v>
      </c>
      <c r="R20" s="3" t="e">
        <f>VLOOKUP(O17,inaugural!$A$6:$D$21,4,FALSE)</f>
        <v>#N/A</v>
      </c>
    </row>
    <row r="21" spans="1:18" x14ac:dyDescent="0.2">
      <c r="E21" s="3" t="s">
        <v>30</v>
      </c>
      <c r="F21" s="3">
        <f>VLOOKUP(E17,foreign!$A$6:$D$21,2,FALSE)</f>
        <v>17</v>
      </c>
      <c r="G21" s="3">
        <f>VLOOKUP(E17,foreign!$A$6:$D$21,3,FALSE)</f>
        <v>21</v>
      </c>
      <c r="H21" s="3">
        <f>VLOOKUP(E17,foreign!$A$6:$D$21,4,FALSE)</f>
        <v>0.10552763819095477</v>
      </c>
      <c r="J21" s="3" t="s">
        <v>30</v>
      </c>
      <c r="K21" s="3">
        <f>VLOOKUP(J17,foreign!$A$6:$D$21,2,FALSE)</f>
        <v>84</v>
      </c>
      <c r="L21" s="3">
        <f>VLOOKUP(J17,foreign!$A$6:$D$21,3,FALSE)</f>
        <v>6</v>
      </c>
      <c r="M21" s="3">
        <f>VLOOKUP(J17,foreign!$A$6:$D$21,4,FALSE)</f>
        <v>3.015075376884422E-2</v>
      </c>
      <c r="O21" s="3" t="s">
        <v>30</v>
      </c>
      <c r="P21" s="3" t="e">
        <f>VLOOKUP(O17,foreign!$A$6:$D$21,2,FALSE)</f>
        <v>#N/A</v>
      </c>
      <c r="Q21" s="3" t="e">
        <f>VLOOKUP(O17,foreign!$A$6:$D$21,3,FALSE)</f>
        <v>#N/A</v>
      </c>
      <c r="R21" s="3" t="e">
        <f>VLOOKUP(O17,foreign!$A$6:$D$21,4,FALSE)</f>
        <v>#N/A</v>
      </c>
    </row>
    <row r="22" spans="1:18" x14ac:dyDescent="0.2">
      <c r="E22" s="3" t="s">
        <v>34</v>
      </c>
      <c r="F22" s="3">
        <f>VLOOKUP(E17,tragedy!$A$6:$D$21,2,FALSE)</f>
        <v>12</v>
      </c>
      <c r="G22" s="3">
        <f>VLOOKUP(E17,tragedy!$A$6:$D$21,3,FALSE)</f>
        <v>20</v>
      </c>
      <c r="H22" s="3">
        <f>VLOOKUP(E17,tragedy!$A$6:$D$21,4,FALSE)</f>
        <v>9.8522167487684734E-2</v>
      </c>
      <c r="J22" s="3" t="s">
        <v>34</v>
      </c>
      <c r="K22" s="3">
        <f>VLOOKUP(J17,tragedy!$A$6:$D$21,2,FALSE)</f>
        <v>53</v>
      </c>
      <c r="L22" s="3">
        <f>VLOOKUP(J17,tragedy!$A$6:$D$21,3,FALSE)</f>
        <v>6</v>
      </c>
      <c r="M22" s="3">
        <f>VLOOKUP(J17,tragedy!$A$6:$D$21,4,FALSE)</f>
        <v>2.9556650246305417E-2</v>
      </c>
      <c r="O22" s="3" t="s">
        <v>34</v>
      </c>
      <c r="P22" s="3" t="e">
        <f>VLOOKUP(O17,tragedy!$A$6:$D$21,2,FALSE)</f>
        <v>#N/A</v>
      </c>
      <c r="Q22" s="3" t="e">
        <f>VLOOKUP(O17,tragedy!$A$6:$D$21,3,FALSE)</f>
        <v>#N/A</v>
      </c>
      <c r="R22" s="3" t="e">
        <f>VLOOKUP(O17,tragedy!$A$6:$D$21,4,FALSE)</f>
        <v>#N/A</v>
      </c>
    </row>
    <row r="23" spans="1:18" x14ac:dyDescent="0.2">
      <c r="E23" s="3" t="s">
        <v>35</v>
      </c>
      <c r="F23" s="3">
        <f>VLOOKUP(E17,sotu!$A$6:$D$21,2,FALSE)</f>
        <v>46</v>
      </c>
      <c r="G23" s="3">
        <f>VLOOKUP(E17,sotu!$A$6:$D$21,3,FALSE)</f>
        <v>26</v>
      </c>
      <c r="H23" s="3">
        <f>VLOOKUP(E17,sotu!$A$6:$D$21,4,FALSE)</f>
        <v>4.5138888888888888E-2</v>
      </c>
      <c r="J23" s="3" t="s">
        <v>35</v>
      </c>
      <c r="K23" s="3">
        <f>VLOOKUP(J17,sotu!$A$6:$D$21,2,FALSE)</f>
        <v>1666</v>
      </c>
      <c r="L23" s="3">
        <f>VLOOKUP(J17,sotu!$A$6:$D$21,3,FALSE)</f>
        <v>1</v>
      </c>
      <c r="M23" s="3">
        <f>VLOOKUP(J17,sotu!$A$6:$D$21,4,FALSE)</f>
        <v>1.736111111111111E-3</v>
      </c>
      <c r="O23" s="3" t="s">
        <v>35</v>
      </c>
      <c r="P23" s="3">
        <f>VLOOKUP(O17,sotu!$A$6:$D$21,2,FALSE)</f>
        <v>1667</v>
      </c>
      <c r="Q23" s="3">
        <f>VLOOKUP(O17,sotu!$A$6:$D$21,3,FALSE)</f>
        <v>1</v>
      </c>
      <c r="R23" s="3">
        <f>VLOOKUP(O17,sotu!$A$6:$D$21,4,FALSE)</f>
        <v>1.736111111111111E-3</v>
      </c>
    </row>
    <row r="24" spans="1:18" x14ac:dyDescent="0.2">
      <c r="E24" s="3" t="s">
        <v>36</v>
      </c>
      <c r="F24" s="3">
        <f>VLOOKUP(E17,un!$A$6:$D$20,2,FALSE)</f>
        <v>103</v>
      </c>
      <c r="G24" s="3">
        <f>VLOOKUP(E17,un!$A$6:$D$20,3,FALSE)</f>
        <v>7</v>
      </c>
      <c r="H24" s="3">
        <f>VLOOKUP(E17,un!$A$6:$D$20,4,FALSE)</f>
        <v>2.1084337349397589E-2</v>
      </c>
      <c r="J24" s="3" t="s">
        <v>36</v>
      </c>
      <c r="K24" s="3">
        <f>VLOOKUP(J17,un!$A$6:$D$20,2,FALSE)</f>
        <v>1339</v>
      </c>
      <c r="L24" s="3">
        <f>VLOOKUP(J17,un!$A$6:$D$20,3,FALSE)</f>
        <v>1</v>
      </c>
      <c r="M24" s="3">
        <f>VLOOKUP(J17,un!$A$6:$D$20,4,FALSE)</f>
        <v>3.0120481927710845E-3</v>
      </c>
      <c r="O24" s="3" t="s">
        <v>36</v>
      </c>
      <c r="P24" s="3" t="e">
        <f>VLOOKUP(O17,un!$A$6:$D$20,2,FALSE)</f>
        <v>#N/A</v>
      </c>
      <c r="Q24" s="3" t="e">
        <f>VLOOKUP(O17,un!$A$6:$D$20,3,FALSE)</f>
        <v>#N/A</v>
      </c>
      <c r="R24" s="3" t="e">
        <f>VLOOKUP(O17,un!$A$6:$D$20,4,FALSE)</f>
        <v>#N/A</v>
      </c>
    </row>
    <row r="25" spans="1:18" ht="17" thickBot="1" x14ac:dyDescent="0.25">
      <c r="E25" s="7" t="s">
        <v>28</v>
      </c>
      <c r="F25" s="7"/>
      <c r="G25" s="4">
        <f t="array" ref="G25">SUM(IF(NOT(ISNA(G19:G24)),G19:G24,""))</f>
        <v>112</v>
      </c>
      <c r="J25" s="7" t="s">
        <v>28</v>
      </c>
      <c r="K25" s="7"/>
      <c r="L25" s="4">
        <f t="array" ref="L25">SUM(IF(NOT(ISNA(L19:L24)),L19:L24,""))</f>
        <v>23</v>
      </c>
      <c r="O25" s="7" t="s">
        <v>28</v>
      </c>
      <c r="P25" s="7"/>
      <c r="Q25" s="4">
        <f t="array" ref="Q25">SUM(IF(NOT(ISNA(Q19:Q24)),Q19:Q24,""))</f>
        <v>1</v>
      </c>
    </row>
    <row r="26" spans="1:18" ht="17" thickTop="1" x14ac:dyDescent="0.2">
      <c r="E26" s="6" t="s">
        <v>37</v>
      </c>
      <c r="F26" s="6">
        <f>IFERROR(AVERAGEIF(F19:F24,"&lt;&gt;#N/A"),"")</f>
        <v>35.666666666666664</v>
      </c>
      <c r="G26" s="6">
        <f>IFERROR(AVERAGEIF(G19:G24,"&lt;&gt;#N/A"),"")</f>
        <v>18.666666666666668</v>
      </c>
      <c r="H26" s="6">
        <f>IFERROR(AVERAGEIF(H19:H24,"&lt;&gt;#N/A"),"")</f>
        <v>7.6323822471591224E-2</v>
      </c>
      <c r="J26" s="6" t="s">
        <v>37</v>
      </c>
      <c r="K26" s="6">
        <f>IFERROR(AVERAGEIF(K19:K24,"&lt;&gt;#N/A"),"")</f>
        <v>558.16666666666663</v>
      </c>
      <c r="L26" s="6">
        <f>IFERROR(AVERAGEIF(L19:L24,"&lt;&gt;#N/A"),"")</f>
        <v>3.8333333333333335</v>
      </c>
      <c r="M26" s="6">
        <f>IFERROR(AVERAGEIF(M19:M24,"&lt;&gt;#N/A"),"")</f>
        <v>1.8169778352524722E-2</v>
      </c>
      <c r="O26" s="6" t="s">
        <v>37</v>
      </c>
      <c r="P26" s="6">
        <f>IFERROR(AVERAGEIF(P19:P24,"&lt;&gt;#N/A"),"")</f>
        <v>1667</v>
      </c>
      <c r="Q26" s="6">
        <f>IFERROR(AVERAGEIF(Q19:Q24,"&lt;&gt;#N/A"),"")</f>
        <v>1</v>
      </c>
      <c r="R26" s="6">
        <f>IFERROR(AVERAGEIF(R19:R24,"&lt;&gt;#N/A"),"")</f>
        <v>1.736111111111111E-3</v>
      </c>
    </row>
    <row r="27" spans="1:18" x14ac:dyDescent="0.2">
      <c r="E27" s="6" t="s">
        <v>38</v>
      </c>
      <c r="F27" s="6">
        <f t="array" ref="F27">IF(COUNT(F19:F24)&gt;1,_xlfn.STDEV.S(IF(NOT(ISNA(F19:F24)),F19:F24,"")),0)</f>
        <v>35.189013436961638</v>
      </c>
      <c r="G27" s="6">
        <f t="array" ref="G27">IF(COUNT(G19:G24)&gt;1,_xlfn.STDEV.S(IF(NOT(ISNA(G19:G24)),G19:G24,"")),0)</f>
        <v>6.5625198412398493</v>
      </c>
      <c r="H27" s="6">
        <f t="array" ref="H27">IF(COUNT(H19:H24)&gt;1,_xlfn.STDEV.S(IF(NOT(ISNA(H19:H24)),H19:H24,"")),0)</f>
        <v>3.6070561511086292E-2</v>
      </c>
      <c r="J27" s="6" t="s">
        <v>38</v>
      </c>
      <c r="K27" s="6">
        <f t="array" ref="K27">IF(COUNT(K19:K24)&gt;1,_xlfn.STDEV.S(IF(NOT(ISNA(K19:K24)),K19:K24,"")),0)</f>
        <v>739.42502437141422</v>
      </c>
      <c r="L27" s="6">
        <f t="array" ref="L27">IF(COUNT(L19:L24)&gt;1,_xlfn.STDEV.S(IF(NOT(ISNA(L19:L24)),L19:L24,"")),0)</f>
        <v>2.4832774042918899</v>
      </c>
      <c r="M27" s="6">
        <f t="array" ref="M27">IF(COUNT(M19:M24)&gt;1,_xlfn.STDEV.S(IF(NOT(ISNA(M19:M24)),M19:M24,"")),0)</f>
        <v>1.3608740206157491E-2</v>
      </c>
      <c r="O27" s="6" t="s">
        <v>38</v>
      </c>
      <c r="P27" s="6">
        <f t="array" ref="P27">IF(COUNT(P19:P24)&gt;1,_xlfn.STDEV.S(IF(NOT(ISNA(P19:P24)),P19:P24,"")),0)</f>
        <v>0</v>
      </c>
      <c r="Q27" s="6">
        <f t="array" ref="Q27">IF(COUNT(Q19:Q24)&gt;1,_xlfn.STDEV.S(IF(NOT(ISNA(Q19:Q24)),Q19:Q24,"")),0)</f>
        <v>0</v>
      </c>
      <c r="R27" s="6">
        <f t="array" ref="R27">IF(COUNT(R19:R24)&gt;1,_xlfn.STDEV.S(IF(NOT(ISNA(R19:R24)),R19:R24,"")),0)</f>
        <v>0</v>
      </c>
    </row>
    <row r="28" spans="1:18" x14ac:dyDescent="0.2">
      <c r="E28" s="6" t="s">
        <v>39</v>
      </c>
      <c r="F28" s="6">
        <f t="array" ref="F28">IF(COUNT(F19:F24)&gt;1,_xlfn.VAR.S(IF(NOT(ISNA(F19:F24)),F19:F24,"")),0)</f>
        <v>1238.2666666666667</v>
      </c>
      <c r="G28" s="6">
        <f t="array" ref="G28">IF(COUNT(G19:G24)&gt;1,_xlfn.VAR.S(IF(NOT(ISNA(G19:G24)),G19:G24,"")),0)</f>
        <v>43.066666666666698</v>
      </c>
      <c r="H28" s="6">
        <f t="array" ref="H28">IF(COUNT(H19:H24)&gt;1,_xlfn.VAR.S(IF(NOT(ISNA(H19:H24)),H19:H24,"")),0)</f>
        <v>1.3010854077250597E-3</v>
      </c>
      <c r="J28" s="6" t="s">
        <v>39</v>
      </c>
      <c r="K28" s="6">
        <f t="array" ref="K28">IF(COUNT(K19:K24)&gt;1,_xlfn.VAR.S(IF(NOT(ISNA(K19:K24)),K19:K24,"")),0)</f>
        <v>546749.36666666658</v>
      </c>
      <c r="L28" s="6">
        <f t="array" ref="L28">IF(COUNT(L19:L24)&gt;1,_xlfn.VAR.S(IF(NOT(ISNA(L19:L24)),L19:L24,"")),0)</f>
        <v>6.1666666666666661</v>
      </c>
      <c r="M28" s="6">
        <f t="array" ref="M28">IF(COUNT(M19:M24)&gt;1,_xlfn.VAR.S(IF(NOT(ISNA(M19:M24)),M19:M24,"")),0)</f>
        <v>1.8519780999868744E-4</v>
      </c>
      <c r="O28" s="6" t="s">
        <v>39</v>
      </c>
      <c r="P28" s="6">
        <f t="array" ref="P28">IF(COUNT(P19:P24)&gt;1,_xlfn.VAR.S(IF(NOT(ISNA(P19:P24)),P19:P24,"")),0)</f>
        <v>0</v>
      </c>
      <c r="Q28" s="6">
        <f t="array" ref="Q28">IF(COUNT(Q19:Q24)&gt;1,_xlfn.VAR.S(IF(NOT(ISNA(Q19:Q24)),Q19:Q24,"")),0)</f>
        <v>0</v>
      </c>
      <c r="R28" s="6">
        <f t="array" ref="R28">IF(COUNT(R19:R24)&gt;1,_xlfn.VAR.S(IF(NOT(ISNA(R19:R24)),R19:R24,"")),0)</f>
        <v>0</v>
      </c>
    </row>
    <row r="30" spans="1:18" x14ac:dyDescent="0.2">
      <c r="A30" s="5" t="s">
        <v>25</v>
      </c>
      <c r="E30" s="5" t="s">
        <v>2</v>
      </c>
      <c r="J30" s="5" t="s">
        <v>9</v>
      </c>
      <c r="O30" s="5" t="s">
        <v>7</v>
      </c>
    </row>
    <row r="31" spans="1:18" x14ac:dyDescent="0.2">
      <c r="A31" s="10" t="s">
        <v>33</v>
      </c>
      <c r="B31" s="10" t="s">
        <v>19</v>
      </c>
      <c r="C31" s="10" t="s">
        <v>32</v>
      </c>
      <c r="E31" s="10" t="s">
        <v>33</v>
      </c>
      <c r="F31" s="10" t="s">
        <v>18</v>
      </c>
      <c r="G31" s="10" t="s">
        <v>19</v>
      </c>
      <c r="H31" s="10" t="s">
        <v>32</v>
      </c>
      <c r="J31" s="10" t="s">
        <v>33</v>
      </c>
      <c r="K31" s="10" t="s">
        <v>18</v>
      </c>
      <c r="L31" s="10" t="s">
        <v>19</v>
      </c>
      <c r="M31" s="10" t="s">
        <v>32</v>
      </c>
      <c r="O31" s="10" t="s">
        <v>33</v>
      </c>
      <c r="P31" s="10" t="s">
        <v>18</v>
      </c>
      <c r="Q31" s="10" t="s">
        <v>19</v>
      </c>
      <c r="R31" s="10" t="s">
        <v>32</v>
      </c>
    </row>
    <row r="32" spans="1:18" x14ac:dyDescent="0.2">
      <c r="A32" s="5" t="s">
        <v>29</v>
      </c>
      <c r="B32" s="5">
        <f>VLOOKUP(A30,victory!$F$6:$H$7,2,FALSE)</f>
        <v>89</v>
      </c>
      <c r="C32" s="5">
        <f>VLOOKUP(A30,victory!$F$6:$H$7,3,FALSE)</f>
        <v>0.44500000000000001</v>
      </c>
      <c r="E32" s="5" t="s">
        <v>29</v>
      </c>
      <c r="F32" s="5">
        <f>VLOOKUP(E30,victory!$A$6:$D$21,2,FALSE)</f>
        <v>9</v>
      </c>
      <c r="G32" s="5">
        <f>VLOOKUP(E30,victory!$A$6:$D$21,3,FALSE)</f>
        <v>31</v>
      </c>
      <c r="H32" s="5">
        <f>VLOOKUP(E30,victory!$A$6:$D$21,4,FALSE)</f>
        <v>0.155</v>
      </c>
      <c r="J32" s="5" t="s">
        <v>29</v>
      </c>
      <c r="K32" s="5">
        <f>VLOOKUP(J30,victory!$A$6:$D$21,2,FALSE)</f>
        <v>87</v>
      </c>
      <c r="L32" s="5">
        <f>VLOOKUP(J30,victory!$A$6:$D$21,3,FALSE)</f>
        <v>4</v>
      </c>
      <c r="M32" s="5">
        <f>VLOOKUP(J30,victory!$A$6:$D$21,4,FALSE)</f>
        <v>0.02</v>
      </c>
      <c r="O32" s="5" t="s">
        <v>29</v>
      </c>
      <c r="P32" s="5">
        <f>VLOOKUP(O30,victory!$A$6:$D$21,2,FALSE)</f>
        <v>29</v>
      </c>
      <c r="Q32" s="5">
        <f>VLOOKUP(O30,victory!$A$6:$D$21,3,FALSE)</f>
        <v>12</v>
      </c>
      <c r="R32" s="5">
        <f>VLOOKUP(O30,victory!$A$6:$D$21,4,FALSE)</f>
        <v>0.06</v>
      </c>
    </row>
    <row r="33" spans="1:18" x14ac:dyDescent="0.2">
      <c r="A33" s="5" t="s">
        <v>31</v>
      </c>
      <c r="B33" s="5">
        <f>VLOOKUP(A30,inaugural!$F$6:$H$7,2,FALSE)</f>
        <v>34</v>
      </c>
      <c r="C33" s="5">
        <f>VLOOKUP(A30,inaugural!$F$6:$H$7,3,FALSE)</f>
        <v>0.1650485436893204</v>
      </c>
      <c r="E33" s="5" t="s">
        <v>31</v>
      </c>
      <c r="F33" s="5">
        <f>VLOOKUP(E30,inaugural!$A$6:$D$21,2,FALSE)</f>
        <v>111</v>
      </c>
      <c r="G33" s="5">
        <f>VLOOKUP(E30,inaugural!$A$6:$D$21,3,FALSE)</f>
        <v>3</v>
      </c>
      <c r="H33" s="5">
        <f>VLOOKUP(E30,inaugural!$A$6:$D$21,4,FALSE)</f>
        <v>1.4563106796116505E-2</v>
      </c>
      <c r="J33" s="5" t="s">
        <v>31</v>
      </c>
      <c r="K33" s="5" t="e">
        <f>VLOOKUP(J30,inaugural!$A$6:$D$21,2,FALSE)</f>
        <v>#N/A</v>
      </c>
      <c r="L33" s="5" t="e">
        <f>VLOOKUP(J30,inaugural!$A$6:$D$21,3,FALSE)</f>
        <v>#N/A</v>
      </c>
      <c r="M33" s="5" t="e">
        <f>VLOOKUP(J30,inaugural!$A$6:$D$21,4,FALSE)</f>
        <v>#N/A</v>
      </c>
      <c r="O33" s="5" t="s">
        <v>31</v>
      </c>
      <c r="P33" s="5">
        <f>VLOOKUP(O30,inaugural!$A$6:$D$21,2,FALSE)</f>
        <v>213</v>
      </c>
      <c r="Q33" s="5">
        <f>VLOOKUP(O30,inaugural!$A$6:$D$21,3,FALSE)</f>
        <v>2</v>
      </c>
      <c r="R33" s="5">
        <f>VLOOKUP(O30,inaugural!$A$6:$D$21,4,FALSE)</f>
        <v>9.7087378640776691E-3</v>
      </c>
    </row>
    <row r="34" spans="1:18" x14ac:dyDescent="0.2">
      <c r="A34" s="5" t="s">
        <v>30</v>
      </c>
      <c r="B34" s="5">
        <f>VLOOKUP(A30,foreign!$F$6:$H$7,2,FALSE)</f>
        <v>74</v>
      </c>
      <c r="C34" s="5">
        <f>VLOOKUP(A30,foreign!$F$6:$H$7,3,FALSE)</f>
        <v>0.37185929648241206</v>
      </c>
      <c r="E34" s="5" t="s">
        <v>30</v>
      </c>
      <c r="F34" s="5">
        <f>VLOOKUP(E30,foreign!$A$6:$D$21,2,FALSE)</f>
        <v>13</v>
      </c>
      <c r="G34" s="5">
        <f>VLOOKUP(E30,foreign!$A$6:$D$21,3,FALSE)</f>
        <v>22</v>
      </c>
      <c r="H34" s="5">
        <f>VLOOKUP(E30,foreign!$A$6:$D$21,4,FALSE)</f>
        <v>0.11055276381909548</v>
      </c>
      <c r="J34" s="5" t="s">
        <v>30</v>
      </c>
      <c r="K34" s="5" t="e">
        <f>VLOOKUP(J30,foreign!$A$6:$D$21,2,FALSE)</f>
        <v>#N/A</v>
      </c>
      <c r="L34" s="5" t="e">
        <f>VLOOKUP(J30,foreign!$A$6:$D$21,3,FALSE)</f>
        <v>#N/A</v>
      </c>
      <c r="M34" s="5" t="e">
        <f>VLOOKUP(J30,foreign!$A$6:$D$21,4,FALSE)</f>
        <v>#N/A</v>
      </c>
      <c r="O34" s="5" t="s">
        <v>30</v>
      </c>
      <c r="P34" s="5">
        <f>VLOOKUP(O30,foreign!$A$6:$D$21,2,FALSE)</f>
        <v>60</v>
      </c>
      <c r="Q34" s="5">
        <f>VLOOKUP(O30,foreign!$A$6:$D$21,3,FALSE)</f>
        <v>7</v>
      </c>
      <c r="R34" s="5">
        <f>VLOOKUP(O30,foreign!$A$6:$D$21,4,FALSE)</f>
        <v>3.5175879396984924E-2</v>
      </c>
    </row>
    <row r="35" spans="1:18" x14ac:dyDescent="0.2">
      <c r="A35" s="5" t="s">
        <v>34</v>
      </c>
      <c r="B35" s="5">
        <f>VLOOKUP(A30,tragedy!$F$6:$H$7,2,FALSE)</f>
        <v>53</v>
      </c>
      <c r="C35" s="5">
        <f>VLOOKUP(A30,tragedy!$F$6:$H$7,3,FALSE)</f>
        <v>0.26108374384236455</v>
      </c>
      <c r="E35" s="5" t="s">
        <v>34</v>
      </c>
      <c r="F35" s="5" t="e">
        <f>VLOOKUP(E30,tragedy!$A$6:$D$21,2,FALSE)</f>
        <v>#N/A</v>
      </c>
      <c r="G35" s="5" t="e">
        <f>VLOOKUP(E30,tragedy!$A$6:$D$21,3,FALSE)</f>
        <v>#N/A</v>
      </c>
      <c r="H35" s="5" t="e">
        <f>VLOOKUP(E30,tragedy!$A$6:$D$21,4,FALSE)</f>
        <v>#N/A</v>
      </c>
      <c r="J35" s="5" t="s">
        <v>34</v>
      </c>
      <c r="K35" s="5">
        <f>VLOOKUP(J30,tragedy!$A$6:$D$21,2,FALSE)</f>
        <v>167</v>
      </c>
      <c r="L35" s="5">
        <f>VLOOKUP(J30,tragedy!$A$6:$D$21,3,FALSE)</f>
        <v>2</v>
      </c>
      <c r="M35" s="5">
        <f>VLOOKUP(J30,tragedy!$A$6:$D$21,4,FALSE)</f>
        <v>9.852216748768473E-3</v>
      </c>
      <c r="O35" s="5" t="s">
        <v>34</v>
      </c>
      <c r="P35" s="5">
        <f>VLOOKUP(O30,tragedy!$A$6:$D$21,2,FALSE)</f>
        <v>427</v>
      </c>
      <c r="Q35" s="5">
        <f>VLOOKUP(O30,tragedy!$A$6:$D$21,3,FALSE)</f>
        <v>1</v>
      </c>
      <c r="R35" s="5">
        <f>VLOOKUP(O30,tragedy!$A$6:$D$21,4,FALSE)</f>
        <v>4.9261083743842365E-3</v>
      </c>
    </row>
    <row r="36" spans="1:18" x14ac:dyDescent="0.2">
      <c r="A36" s="5" t="s">
        <v>35</v>
      </c>
      <c r="B36" s="5">
        <f>VLOOKUP(A30,sotu!$F$6:$H$7,2,FALSE)</f>
        <v>323</v>
      </c>
      <c r="C36" s="5">
        <f>VLOOKUP(A30,sotu!$F$6:$H$7,3,FALSE)</f>
        <v>0.56076388888888884</v>
      </c>
      <c r="E36" s="5" t="s">
        <v>35</v>
      </c>
      <c r="F36" s="5">
        <f>VLOOKUP(E30,sotu!$A$6:$D$21,2,FALSE)</f>
        <v>9</v>
      </c>
      <c r="G36" s="5">
        <f>VLOOKUP(E30,sotu!$A$6:$D$21,3,FALSE)</f>
        <v>106</v>
      </c>
      <c r="H36" s="5">
        <f>VLOOKUP(E30,sotu!$A$6:$D$21,4,FALSE)</f>
        <v>0.18402777777777779</v>
      </c>
      <c r="J36" s="5" t="s">
        <v>35</v>
      </c>
      <c r="K36" s="5">
        <f>VLOOKUP(J30,sotu!$A$6:$D$21,2,FALSE)</f>
        <v>116</v>
      </c>
      <c r="L36" s="5">
        <f>VLOOKUP(J30,sotu!$A$6:$D$21,3,FALSE)</f>
        <v>11</v>
      </c>
      <c r="M36" s="5">
        <f>VLOOKUP(J30,sotu!$A$6:$D$21,4,FALSE)</f>
        <v>1.9097222222222224E-2</v>
      </c>
      <c r="O36" s="5" t="s">
        <v>35</v>
      </c>
      <c r="P36" s="5">
        <f>VLOOKUP(O30,sotu!$A$6:$D$21,2,FALSE)</f>
        <v>126</v>
      </c>
      <c r="Q36" s="5">
        <f>VLOOKUP(O30,sotu!$A$6:$D$21,3,FALSE)</f>
        <v>10</v>
      </c>
      <c r="R36" s="5">
        <f>VLOOKUP(O30,sotu!$A$6:$D$21,4,FALSE)</f>
        <v>1.7361111111111112E-2</v>
      </c>
    </row>
    <row r="37" spans="1:18" x14ac:dyDescent="0.2">
      <c r="A37" s="5" t="s">
        <v>36</v>
      </c>
      <c r="B37" s="5">
        <f>VLOOKUP(A30,un!$F$6:$H$7,2,FALSE)</f>
        <v>176</v>
      </c>
      <c r="C37" s="5">
        <f>VLOOKUP(A30,un!$F$6:$H$7,3,FALSE)</f>
        <v>0.53012048192771088</v>
      </c>
      <c r="E37" s="5" t="s">
        <v>36</v>
      </c>
      <c r="F37" s="5">
        <f>VLOOKUP(E30,un!$A$6:$D$20,2,FALSE)</f>
        <v>15</v>
      </c>
      <c r="G37" s="5">
        <f>VLOOKUP(E30,un!$A$6:$D$20,3,FALSE)</f>
        <v>40</v>
      </c>
      <c r="H37" s="5">
        <f>VLOOKUP(E30,un!$A$6:$D$20,4,FALSE)</f>
        <v>0.12048192771084337</v>
      </c>
      <c r="J37" s="5" t="s">
        <v>36</v>
      </c>
      <c r="K37" s="5">
        <f>VLOOKUP(J30,un!$A$6:$D$20,2,FALSE)</f>
        <v>121</v>
      </c>
      <c r="L37" s="5">
        <f>VLOOKUP(J30,un!$A$6:$D$20,3,FALSE)</f>
        <v>6</v>
      </c>
      <c r="M37" s="5">
        <f>VLOOKUP(J30,un!$A$6:$D$20,4,FALSE)</f>
        <v>1.8072289156626505E-2</v>
      </c>
      <c r="O37" s="5" t="s">
        <v>36</v>
      </c>
      <c r="P37" s="5">
        <f>VLOOKUP(O30,un!$A$6:$D$20,2,FALSE)</f>
        <v>51</v>
      </c>
      <c r="Q37" s="5">
        <f>VLOOKUP(O30,un!$A$6:$D$20,3,FALSE)</f>
        <v>13</v>
      </c>
      <c r="R37" s="5">
        <f>VLOOKUP(O30,un!$A$6:$D$20,4,FALSE)</f>
        <v>3.9156626506024098E-2</v>
      </c>
    </row>
    <row r="38" spans="1:18" ht="17" thickBot="1" x14ac:dyDescent="0.25">
      <c r="A38" s="4" t="s">
        <v>28</v>
      </c>
      <c r="B38" s="4">
        <f>SUM(B32:B37)</f>
        <v>749</v>
      </c>
      <c r="E38" s="7" t="s">
        <v>28</v>
      </c>
      <c r="F38" s="7"/>
      <c r="G38" s="4">
        <f t="array" ref="G38">SUM(IF(NOT(ISNA(G32:G37)),G32:G37,""))</f>
        <v>202</v>
      </c>
      <c r="J38" s="7" t="s">
        <v>28</v>
      </c>
      <c r="K38" s="7"/>
      <c r="L38" s="4">
        <f t="array" ref="L38">SUM(IF(NOT(ISNA(L32:L37)),L32:L37,""))</f>
        <v>23</v>
      </c>
      <c r="O38" s="7" t="s">
        <v>28</v>
      </c>
      <c r="P38" s="7"/>
      <c r="Q38" s="4">
        <f t="array" ref="Q38">SUM(IF(NOT(ISNA(Q32:Q37)),Q32:Q37,""))</f>
        <v>45</v>
      </c>
    </row>
    <row r="39" spans="1:18" ht="17" thickTop="1" x14ac:dyDescent="0.2">
      <c r="A39" s="6" t="s">
        <v>37</v>
      </c>
      <c r="B39" s="6">
        <f>AVERAGE(B32:B37)</f>
        <v>124.83333333333333</v>
      </c>
      <c r="C39" s="6">
        <f>AVERAGE(C32:C37)</f>
        <v>0.38897932580511613</v>
      </c>
      <c r="E39" s="6" t="s">
        <v>37</v>
      </c>
      <c r="F39" s="6">
        <f>IFERROR(AVERAGEIF(F32:F37,"&lt;&gt;#N/A"),"")</f>
        <v>31.4</v>
      </c>
      <c r="G39" s="6">
        <f>IFERROR(AVERAGEIF(G32:G37,"&lt;&gt;#N/A"),"")</f>
        <v>40.4</v>
      </c>
      <c r="H39" s="6">
        <f>IFERROR(AVERAGEIF(H32:H37,"&lt;&gt;#N/A"),"")</f>
        <v>0.11692511522076662</v>
      </c>
      <c r="J39" s="6" t="s">
        <v>37</v>
      </c>
      <c r="K39" s="6">
        <f>IFERROR(AVERAGEIF(K32:K37,"&lt;&gt;#N/A"),"")</f>
        <v>122.75</v>
      </c>
      <c r="L39" s="6">
        <f>IFERROR(AVERAGEIF(L32:L37,"&lt;&gt;#N/A"),"")</f>
        <v>5.75</v>
      </c>
      <c r="M39" s="6">
        <f>IFERROR(AVERAGEIF(M32:M37,"&lt;&gt;#N/A"),"")</f>
        <v>1.6755432031904299E-2</v>
      </c>
      <c r="O39" s="6" t="s">
        <v>37</v>
      </c>
      <c r="P39" s="6">
        <f>IFERROR(AVERAGEIF(P32:P37,"&lt;&gt;#N/A"),"")</f>
        <v>151</v>
      </c>
      <c r="Q39" s="6">
        <f>IFERROR(AVERAGEIF(Q32:Q37,"&lt;&gt;#N/A"),"")</f>
        <v>7.5</v>
      </c>
      <c r="R39" s="6">
        <f>IFERROR(AVERAGEIF(R32:R37,"&lt;&gt;#N/A"),"")</f>
        <v>2.7721410542097008E-2</v>
      </c>
    </row>
    <row r="40" spans="1:18" x14ac:dyDescent="0.2">
      <c r="A40" s="6" t="s">
        <v>38</v>
      </c>
      <c r="B40" s="6">
        <f>_xlfn.STDEV.S(B32:B37)</f>
        <v>108.78127902661683</v>
      </c>
      <c r="C40" s="6">
        <f>STDEV(C32:C37)</f>
        <v>0.15450854246374066</v>
      </c>
      <c r="E40" s="6" t="s">
        <v>38</v>
      </c>
      <c r="F40" s="6">
        <f t="array" ref="F40">IF(COUNT(F32:F37)&gt;1,_xlfn.STDEV.S(IF(NOT(ISNA(F32:F37)),F32:F37,"")),0)</f>
        <v>44.573534748772168</v>
      </c>
      <c r="G40" s="6">
        <f t="array" ref="G40">IF(COUNT(G32:G37)&gt;1,_xlfn.STDEV.S(IF(NOT(ISNA(G32:G37)),G32:G37,"")),0)</f>
        <v>39.144603714943905</v>
      </c>
      <c r="H40" s="6">
        <f t="array" ref="H40">IF(COUNT(H32:H37)&gt;1,_xlfn.STDEV.S(IF(NOT(ISNA(H32:H37)),H32:H37,"")),0)</f>
        <v>6.4194436517886977E-2</v>
      </c>
      <c r="J40" s="6" t="s">
        <v>38</v>
      </c>
      <c r="K40" s="6">
        <f t="array" ref="K40">IF(COUNT(K32:K37)&gt;1,_xlfn.STDEV.S(IF(NOT(ISNA(K32:K37)),K32:K37,"")),0)</f>
        <v>33.089525029330154</v>
      </c>
      <c r="L40" s="6">
        <f t="array" ref="L40">IF(COUNT(L32:L37)&gt;1,_xlfn.STDEV.S(IF(NOT(ISNA(L32:L37)),L32:L37,"")),0)</f>
        <v>3.8622100754188224</v>
      </c>
      <c r="M40" s="6">
        <f t="array" ref="M40">IF(COUNT(M32:M37)&gt;1,_xlfn.STDEV.S(IF(NOT(ISNA(M32:M37)),M32:M37,"")),0)</f>
        <v>4.6690361791742402E-3</v>
      </c>
      <c r="O40" s="6" t="s">
        <v>38</v>
      </c>
      <c r="P40" s="6">
        <f t="array" ref="P40">IF(COUNT(P32:P37)&gt;1,_xlfn.STDEV.S(IF(NOT(ISNA(P32:P37)),P32:P37,"")),0)</f>
        <v>150.87080565835129</v>
      </c>
      <c r="Q40" s="6">
        <f t="array" ref="Q40">IF(COUNT(Q32:Q37)&gt;1,_xlfn.STDEV.S(IF(NOT(ISNA(Q32:Q37)),Q32:Q37,"")),0)</f>
        <v>5.0892042599997884</v>
      </c>
      <c r="R40" s="6">
        <f t="array" ref="R40">IF(COUNT(R32:R37)&gt;1,_xlfn.STDEV.S(IF(NOT(ISNA(R32:R37)),R32:R37,"")),0)</f>
        <v>2.0878977894832274E-2</v>
      </c>
    </row>
    <row r="41" spans="1:18" x14ac:dyDescent="0.2">
      <c r="A41" s="6" t="s">
        <v>39</v>
      </c>
      <c r="B41" s="6">
        <f>_xlfn.VAR.S(B32:B37)</f>
        <v>11833.366666666665</v>
      </c>
      <c r="C41" s="6">
        <f>_xlfn.VAR.S(C32:C37)</f>
        <v>2.3872889694269549E-2</v>
      </c>
      <c r="E41" s="6" t="s">
        <v>39</v>
      </c>
      <c r="F41" s="6">
        <f t="array" ref="F41">IF(COUNT(F32:F37)&gt;1,_xlfn.VAR.S(IF(NOT(ISNA(F32:F37)),F32:F37,"")),0)</f>
        <v>1986.8</v>
      </c>
      <c r="G41" s="6">
        <f t="array" ref="G41">IF(COUNT(G32:G37)&gt;1,_xlfn.VAR.S(IF(NOT(ISNA(G32:G37)),G32:G37,"")),0)</f>
        <v>1532.3</v>
      </c>
      <c r="H41" s="6">
        <f t="array" ref="H41">IF(COUNT(H32:H37)&gt;1,_xlfn.VAR.S(IF(NOT(ISNA(H32:H37)),H32:H37,"")),0)</f>
        <v>4.1209256798490218E-3</v>
      </c>
      <c r="J41" s="6" t="s">
        <v>39</v>
      </c>
      <c r="K41" s="6">
        <f t="array" ref="K41">IF(COUNT(K32:K37)&gt;1,_xlfn.VAR.S(IF(NOT(ISNA(K32:K37)),K32:K37,"")),0)</f>
        <v>1094.9166666666667</v>
      </c>
      <c r="L41" s="6">
        <f t="array" ref="L41">IF(COUNT(L32:L37)&gt;1,_xlfn.VAR.S(IF(NOT(ISNA(L32:L37)),L32:L37,"")),0)</f>
        <v>14.916666666666666</v>
      </c>
      <c r="M41" s="6">
        <f t="array" ref="M41">IF(COUNT(M32:M37)&gt;1,_xlfn.VAR.S(IF(NOT(ISNA(M32:M37)),M32:M37,"")),0)</f>
        <v>2.1799898842437989E-5</v>
      </c>
      <c r="O41" s="6" t="s">
        <v>39</v>
      </c>
      <c r="P41" s="6">
        <f t="array" ref="P41">IF(COUNT(P32:P37)&gt;1,_xlfn.VAR.S(IF(NOT(ISNA(P32:P37)),P32:P37,"")),0)</f>
        <v>22762</v>
      </c>
      <c r="Q41" s="6">
        <f t="array" ref="Q41">IF(COUNT(Q32:Q37)&gt;1,_xlfn.VAR.S(IF(NOT(ISNA(Q32:Q37)),Q32:Q37,"")),0)</f>
        <v>25.9</v>
      </c>
      <c r="R41" s="6">
        <f t="array" ref="R41">IF(COUNT(R32:R37)&gt;1,_xlfn.VAR.S(IF(NOT(ISNA(R32:R37)),R32:R37,"")),0)</f>
        <v>4.3593171793289474E-4</v>
      </c>
    </row>
    <row r="43" spans="1:18" x14ac:dyDescent="0.2">
      <c r="E43" s="5" t="s">
        <v>3</v>
      </c>
      <c r="J43" s="5" t="s">
        <v>8</v>
      </c>
      <c r="O43" s="5" t="s">
        <v>4</v>
      </c>
    </row>
    <row r="44" spans="1:18" x14ac:dyDescent="0.2">
      <c r="E44" s="10" t="s">
        <v>33</v>
      </c>
      <c r="F44" s="10" t="s">
        <v>18</v>
      </c>
      <c r="G44" s="10" t="s">
        <v>19</v>
      </c>
      <c r="H44" s="10" t="s">
        <v>32</v>
      </c>
      <c r="J44" s="10" t="s">
        <v>33</v>
      </c>
      <c r="K44" s="10" t="s">
        <v>18</v>
      </c>
      <c r="L44" s="10" t="s">
        <v>19</v>
      </c>
      <c r="M44" s="10" t="s">
        <v>32</v>
      </c>
      <c r="O44" s="10" t="s">
        <v>33</v>
      </c>
      <c r="P44" s="10" t="s">
        <v>18</v>
      </c>
      <c r="Q44" s="10" t="s">
        <v>19</v>
      </c>
      <c r="R44" s="10" t="s">
        <v>32</v>
      </c>
    </row>
    <row r="45" spans="1:18" x14ac:dyDescent="0.2">
      <c r="E45" s="5" t="s">
        <v>29</v>
      </c>
      <c r="F45" s="5">
        <f>VLOOKUP(E43,victory!$A$6:$D$21,2,FALSE)</f>
        <v>71</v>
      </c>
      <c r="G45" s="5">
        <f>VLOOKUP(E43,victory!$A$6:$D$21,3,FALSE)</f>
        <v>5</v>
      </c>
      <c r="H45" s="5">
        <f>VLOOKUP(E43,victory!$A$6:$D$21,4,FALSE)</f>
        <v>2.5000000000000001E-2</v>
      </c>
      <c r="J45" s="5" t="s">
        <v>29</v>
      </c>
      <c r="K45" s="5" t="e">
        <f>VLOOKUP(J43,victory!$A$6:$D$21,2,FALSE)</f>
        <v>#N/A</v>
      </c>
      <c r="L45" s="5" t="e">
        <f>VLOOKUP(J43,victory!$A$6:$D$21,3,FALSE)</f>
        <v>#N/A</v>
      </c>
      <c r="M45" s="5" t="e">
        <f>VLOOKUP(J43,victory!$A$6:$D$21,4,FALSE)</f>
        <v>#N/A</v>
      </c>
      <c r="O45" s="5" t="s">
        <v>29</v>
      </c>
      <c r="P45" s="5">
        <f>VLOOKUP(O43,victory!$A$6:$D$21,2,FALSE)</f>
        <v>38</v>
      </c>
      <c r="Q45" s="5">
        <f>VLOOKUP(O43,victory!$A$6:$D$21,3,FALSE)</f>
        <v>11</v>
      </c>
      <c r="R45" s="5">
        <f>VLOOKUP(O43,victory!$A$6:$D$21,4,FALSE)</f>
        <v>5.5E-2</v>
      </c>
    </row>
    <row r="46" spans="1:18" x14ac:dyDescent="0.2">
      <c r="E46" s="5" t="s">
        <v>31</v>
      </c>
      <c r="F46" s="5">
        <f>VLOOKUP(E43,inaugural!$A$6:$D$21,2,FALSE)</f>
        <v>19</v>
      </c>
      <c r="G46" s="5">
        <f>VLOOKUP(E43,inaugural!$A$6:$D$21,3,FALSE)</f>
        <v>17</v>
      </c>
      <c r="H46" s="5">
        <f>VLOOKUP(E43,inaugural!$A$6:$D$21,4,FALSE)</f>
        <v>8.2524271844660199E-2</v>
      </c>
      <c r="J46" s="5" t="s">
        <v>31</v>
      </c>
      <c r="K46" s="5" t="e">
        <f>VLOOKUP(J43,inaugural!$A$6:$D$21,2,FALSE)</f>
        <v>#N/A</v>
      </c>
      <c r="L46" s="5" t="e">
        <f>VLOOKUP(J43,inaugural!$A$6:$D$21,3,FALSE)</f>
        <v>#N/A</v>
      </c>
      <c r="M46" s="5" t="e">
        <f>VLOOKUP(J43,inaugural!$A$6:$D$21,4,FALSE)</f>
        <v>#N/A</v>
      </c>
      <c r="O46" s="5" t="s">
        <v>31</v>
      </c>
      <c r="P46" s="5">
        <f>VLOOKUP(O43,inaugural!$A$6:$D$21,2,FALSE)</f>
        <v>35</v>
      </c>
      <c r="Q46" s="5">
        <f>VLOOKUP(O43,inaugural!$A$6:$D$21,3,FALSE)</f>
        <v>10</v>
      </c>
      <c r="R46" s="5">
        <f>VLOOKUP(O43,inaugural!$A$6:$D$21,4,FALSE)</f>
        <v>4.8543689320388349E-2</v>
      </c>
    </row>
    <row r="47" spans="1:18" x14ac:dyDescent="0.2">
      <c r="E47" s="5" t="s">
        <v>30</v>
      </c>
      <c r="F47" s="5">
        <f>VLOOKUP(E43,foreign!$A$6:$D$21,2,FALSE)</f>
        <v>98</v>
      </c>
      <c r="G47" s="5">
        <f>VLOOKUP(E43,foreign!$A$6:$D$21,3,FALSE)</f>
        <v>5</v>
      </c>
      <c r="H47" s="5">
        <f>VLOOKUP(E43,foreign!$A$6:$D$21,4,FALSE)</f>
        <v>2.5125628140703519E-2</v>
      </c>
      <c r="J47" s="5" t="s">
        <v>30</v>
      </c>
      <c r="K47" s="5" t="e">
        <f>VLOOKUP(J43,foreign!$A$6:$D$21,2,FALSE)</f>
        <v>#N/A</v>
      </c>
      <c r="L47" s="5" t="e">
        <f>VLOOKUP(J43,foreign!$A$6:$D$21,3,FALSE)</f>
        <v>#N/A</v>
      </c>
      <c r="M47" s="5" t="e">
        <f>VLOOKUP(J43,foreign!$A$6:$D$21,4,FALSE)</f>
        <v>#N/A</v>
      </c>
      <c r="O47" s="5" t="s">
        <v>30</v>
      </c>
      <c r="P47" s="5">
        <f>VLOOKUP(O43,foreign!$A$6:$D$21,2,FALSE)</f>
        <v>55</v>
      </c>
      <c r="Q47" s="5">
        <f>VLOOKUP(O43,foreign!$A$6:$D$21,3,FALSE)</f>
        <v>8</v>
      </c>
      <c r="R47" s="5">
        <f>VLOOKUP(O43,foreign!$A$6:$D$21,4,FALSE)</f>
        <v>4.0201005025125629E-2</v>
      </c>
    </row>
    <row r="48" spans="1:18" x14ac:dyDescent="0.2">
      <c r="E48" s="5" t="s">
        <v>34</v>
      </c>
      <c r="F48" s="5">
        <f>VLOOKUP(E43,tragedy!$A$6:$D$21,2,FALSE)</f>
        <v>28</v>
      </c>
      <c r="G48" s="5">
        <f>VLOOKUP(E43,tragedy!$A$6:$D$21,3,FALSE)</f>
        <v>13</v>
      </c>
      <c r="H48" s="5">
        <f>VLOOKUP(E43,tragedy!$A$6:$D$21,4,FALSE)</f>
        <v>6.4039408866995079E-2</v>
      </c>
      <c r="J48" s="5" t="s">
        <v>34</v>
      </c>
      <c r="K48" s="5">
        <f>VLOOKUP(J43,tragedy!$A$6:$D$21,2,FALSE)</f>
        <v>16</v>
      </c>
      <c r="L48" s="5">
        <f>VLOOKUP(J43,tragedy!$A$6:$D$21,3,FALSE)</f>
        <v>17</v>
      </c>
      <c r="M48" s="5">
        <f>VLOOKUP(J43,tragedy!$A$6:$D$21,4,FALSE)</f>
        <v>8.3743842364532015E-2</v>
      </c>
      <c r="O48" s="5" t="s">
        <v>34</v>
      </c>
      <c r="P48" s="5">
        <f>VLOOKUP(O43,tragedy!$A$6:$D$21,2,FALSE)</f>
        <v>33</v>
      </c>
      <c r="Q48" s="5">
        <f>VLOOKUP(O43,tragedy!$A$6:$D$21,3,FALSE)</f>
        <v>10</v>
      </c>
      <c r="R48" s="5">
        <f>VLOOKUP(O43,tragedy!$A$6:$D$21,4,FALSE)</f>
        <v>4.9261083743842367E-2</v>
      </c>
    </row>
    <row r="49" spans="5:18" x14ac:dyDescent="0.2">
      <c r="E49" s="5" t="s">
        <v>35</v>
      </c>
      <c r="F49" s="5">
        <f>VLOOKUP(E43,sotu!$A$6:$D$21,2,FALSE)</f>
        <v>17</v>
      </c>
      <c r="G49" s="5">
        <f>VLOOKUP(E43,sotu!$A$6:$D$21,3,FALSE)</f>
        <v>60</v>
      </c>
      <c r="H49" s="5">
        <f>VLOOKUP(E43,sotu!$A$6:$D$21,4,FALSE)</f>
        <v>0.10416666666666667</v>
      </c>
      <c r="J49" s="5" t="s">
        <v>35</v>
      </c>
      <c r="K49" s="5" t="e">
        <f>VLOOKUP(J43,sotu!$A$6:$D$21,2,FALSE)</f>
        <v>#N/A</v>
      </c>
      <c r="L49" s="5" t="e">
        <f>VLOOKUP(J43,sotu!$A$6:$D$21,3,FALSE)</f>
        <v>#N/A</v>
      </c>
      <c r="M49" s="5" t="e">
        <f>VLOOKUP(J43,sotu!$A$6:$D$21,4,FALSE)</f>
        <v>#N/A</v>
      </c>
      <c r="O49" s="5" t="s">
        <v>35</v>
      </c>
      <c r="P49" s="5">
        <f>VLOOKUP(O43,sotu!$A$6:$D$21,2,FALSE)</f>
        <v>28</v>
      </c>
      <c r="Q49" s="5">
        <f>VLOOKUP(O43,sotu!$A$6:$D$21,3,FALSE)</f>
        <v>35</v>
      </c>
      <c r="R49" s="5">
        <f>VLOOKUP(O43,sotu!$A$6:$D$21,4,FALSE)</f>
        <v>6.0763888888888888E-2</v>
      </c>
    </row>
    <row r="50" spans="5:18" x14ac:dyDescent="0.2">
      <c r="E50" s="5" t="s">
        <v>36</v>
      </c>
      <c r="F50" s="5">
        <f>VLOOKUP(E43,un!$A$6:$D$20,2,FALSE)</f>
        <v>45</v>
      </c>
      <c r="G50" s="5">
        <f>VLOOKUP(E43,un!$A$6:$D$20,3,FALSE)</f>
        <v>16</v>
      </c>
      <c r="H50" s="5">
        <f>VLOOKUP(E43,un!$A$6:$D$20,4,FALSE)</f>
        <v>4.8192771084337352E-2</v>
      </c>
      <c r="J50" s="5" t="s">
        <v>36</v>
      </c>
      <c r="K50" s="5" t="e">
        <f>VLOOKUP(J43,un!$A$6:$D$20,2,FALSE)</f>
        <v>#N/A</v>
      </c>
      <c r="L50" s="5" t="e">
        <f>VLOOKUP(J43,un!$A$6:$D$20,3,FALSE)</f>
        <v>#N/A</v>
      </c>
      <c r="M50" s="5" t="e">
        <f>VLOOKUP(J43,un!$A$6:$D$20,4,FALSE)</f>
        <v>#N/A</v>
      </c>
      <c r="O50" s="5" t="s">
        <v>36</v>
      </c>
      <c r="P50" s="5">
        <f>VLOOKUP(O43,un!$A$6:$D$20,2,FALSE)</f>
        <v>29</v>
      </c>
      <c r="Q50" s="5">
        <f>VLOOKUP(O43,un!$A$6:$D$20,3,FALSE)</f>
        <v>28</v>
      </c>
      <c r="R50" s="5">
        <f>VLOOKUP(O43,un!$A$6:$D$20,4,FALSE)</f>
        <v>8.4337349397590355E-2</v>
      </c>
    </row>
    <row r="51" spans="5:18" ht="17" thickBot="1" x14ac:dyDescent="0.25">
      <c r="E51" s="7" t="s">
        <v>28</v>
      </c>
      <c r="F51" s="7"/>
      <c r="G51" s="4">
        <f t="array" ref="G51">SUM(IF(NOT(ISNA(G45:G50)),G45:G50,""))</f>
        <v>116</v>
      </c>
      <c r="J51" s="7" t="s">
        <v>28</v>
      </c>
      <c r="K51" s="7"/>
      <c r="L51" s="4">
        <f t="array" ref="L51">SUM(IF(NOT(ISNA(L45:L50)),L45:L50,""))</f>
        <v>17</v>
      </c>
      <c r="O51" s="7" t="s">
        <v>28</v>
      </c>
      <c r="P51" s="7"/>
      <c r="Q51" s="4">
        <f t="array" ref="Q51">SUM(IF(NOT(ISNA(Q45:Q50)),Q45:Q50,""))</f>
        <v>102</v>
      </c>
    </row>
    <row r="52" spans="5:18" ht="17" thickTop="1" x14ac:dyDescent="0.2">
      <c r="E52" s="6" t="s">
        <v>37</v>
      </c>
      <c r="F52" s="6">
        <f>IFERROR(AVERAGEIF(F45:F50,"&lt;&gt;#N/A"),"")</f>
        <v>46.333333333333336</v>
      </c>
      <c r="G52" s="6">
        <f>IFERROR(AVERAGEIF(G45:G50,"&lt;&gt;#N/A"),"")</f>
        <v>19.333333333333332</v>
      </c>
      <c r="H52" s="6">
        <f>IFERROR(AVERAGEIF(H45:H50,"&lt;&gt;#N/A"),"")</f>
        <v>5.8174791100560473E-2</v>
      </c>
      <c r="J52" s="6" t="s">
        <v>37</v>
      </c>
      <c r="K52" s="6">
        <f>IFERROR(AVERAGEIF(K45:K50,"&lt;&gt;#N/A"),"")</f>
        <v>16</v>
      </c>
      <c r="L52" s="6">
        <f>IFERROR(AVERAGEIF(L45:L50,"&lt;&gt;#N/A"),"")</f>
        <v>17</v>
      </c>
      <c r="M52" s="6">
        <f>IFERROR(AVERAGEIF(M45:M50,"&lt;&gt;#N/A"),"")</f>
        <v>8.3743842364532015E-2</v>
      </c>
      <c r="O52" s="6" t="s">
        <v>37</v>
      </c>
      <c r="P52" s="6">
        <f>IFERROR(AVERAGEIF(P45:P50,"&lt;&gt;#N/A"),"")</f>
        <v>36.333333333333336</v>
      </c>
      <c r="Q52" s="6">
        <f>IFERROR(AVERAGEIF(Q45:Q50,"&lt;&gt;#N/A"),"")</f>
        <v>17</v>
      </c>
      <c r="R52" s="6">
        <f>IFERROR(AVERAGEIF(R45:R50,"&lt;&gt;#N/A"),"")</f>
        <v>5.6351169395972595E-2</v>
      </c>
    </row>
    <row r="53" spans="5:18" x14ac:dyDescent="0.2">
      <c r="E53" s="6" t="s">
        <v>38</v>
      </c>
      <c r="F53" s="6">
        <f t="array" ref="F53">IF(COUNT(F45:F50)&gt;1,_xlfn.STDEV.S(IF(NOT(ISNA(F45:F50)),F45:F50,"")),0)</f>
        <v>32.321303604073066</v>
      </c>
      <c r="G53" s="6">
        <f t="array" ref="G53">IF(COUNT(G45:G50)&gt;1,_xlfn.STDEV.S(IF(NOT(ISNA(G45:G50)),G45:G50,"")),0)</f>
        <v>20.597734503257069</v>
      </c>
      <c r="H53" s="6">
        <f t="array" ref="H53">IF(COUNT(H45:H50)&gt;1,_xlfn.STDEV.S(IF(NOT(ISNA(H45:H50)),H45:H50,"")),0)</f>
        <v>3.1733257735880649E-2</v>
      </c>
      <c r="J53" s="6" t="s">
        <v>38</v>
      </c>
      <c r="K53" s="6">
        <f t="array" ref="K53">IF(COUNT(K45:K50)&gt;1,_xlfn.STDEV.S(IF(NOT(ISNA(K45:K50)),K45:K50,"")),0)</f>
        <v>0</v>
      </c>
      <c r="L53" s="6">
        <f t="array" ref="L53">IF(COUNT(L45:L50)&gt;1,_xlfn.STDEV.S(IF(NOT(ISNA(L45:L50)),L45:L50,"")),0)</f>
        <v>0</v>
      </c>
      <c r="M53" s="6">
        <f t="array" ref="M53">IF(COUNT(M45:M50)&gt;1,_xlfn.STDEV.S(IF(NOT(ISNA(M45:M50)),M45:M50,"")),0)</f>
        <v>0</v>
      </c>
      <c r="O53" s="6" t="s">
        <v>38</v>
      </c>
      <c r="P53" s="6">
        <f t="array" ref="P53">IF(COUNT(P45:P50)&gt;1,_xlfn.STDEV.S(IF(NOT(ISNA(P45:P50)),P45:P50,"")),0)</f>
        <v>9.8725207858310746</v>
      </c>
      <c r="Q53" s="6">
        <f t="array" ref="Q53">IF(COUNT(Q45:Q50)&gt;1,_xlfn.STDEV.S(IF(NOT(ISNA(Q45:Q50)),Q45:Q50,"")),0)</f>
        <v>11.489125293076057</v>
      </c>
      <c r="R53" s="6">
        <f t="array" ref="R53">IF(COUNT(R45:R50)&gt;1,_xlfn.STDEV.S(IF(NOT(ISNA(R45:R50)),R45:R50,"")),0)</f>
        <v>1.5339999296175272E-2</v>
      </c>
    </row>
    <row r="54" spans="5:18" x14ac:dyDescent="0.2">
      <c r="E54" s="6" t="s">
        <v>39</v>
      </c>
      <c r="F54" s="6">
        <f t="array" ref="F54">IF(COUNT(F45:F50)&gt;1,_xlfn.VAR.S(IF(NOT(ISNA(F45:F50)),F45:F50,"")),0)</f>
        <v>1044.6666666666667</v>
      </c>
      <c r="G54" s="6">
        <f t="array" ref="G54">IF(COUNT(G45:G50)&gt;1,_xlfn.VAR.S(IF(NOT(ISNA(G45:G50)),G45:G50,"")),0)</f>
        <v>424.26666666666671</v>
      </c>
      <c r="H54" s="6">
        <f t="array" ref="H54">IF(COUNT(H45:H50)&gt;1,_xlfn.VAR.S(IF(NOT(ISNA(H45:H50)),H45:H50,"")),0)</f>
        <v>1.0069996465318289E-3</v>
      </c>
      <c r="J54" s="6" t="s">
        <v>39</v>
      </c>
      <c r="K54" s="6">
        <f t="array" ref="K54">IF(COUNT(K45:K50)&gt;1,_xlfn.VAR.S(IF(NOT(ISNA(K45:K50)),K45:K50,"")),0)</f>
        <v>0</v>
      </c>
      <c r="L54" s="6">
        <f t="array" ref="L54">IF(COUNT(L45:L50)&gt;1,_xlfn.VAR.S(IF(NOT(ISNA(L45:L50)),L45:L50,"")),0)</f>
        <v>0</v>
      </c>
      <c r="M54" s="6">
        <f t="array" ref="M54">IF(COUNT(M45:M50)&gt;1,_xlfn.VAR.S(IF(NOT(ISNA(M45:M50)),M45:M50,"")),0)</f>
        <v>0</v>
      </c>
      <c r="O54" s="6" t="s">
        <v>39</v>
      </c>
      <c r="P54" s="6">
        <f t="array" ref="P54">IF(COUNT(P45:P50)&gt;1,_xlfn.VAR.S(IF(NOT(ISNA(P45:P50)),P45:P50,"")),0)</f>
        <v>97.466666666666612</v>
      </c>
      <c r="Q54" s="6">
        <f t="array" ref="Q54">IF(COUNT(Q45:Q50)&gt;1,_xlfn.VAR.S(IF(NOT(ISNA(Q45:Q50)),Q45:Q50,"")),0)</f>
        <v>132</v>
      </c>
      <c r="R54" s="6">
        <f t="array" ref="R54">IF(COUNT(R45:R50)&gt;1,_xlfn.VAR.S(IF(NOT(ISNA(R45:R50)),R45:R50,"")),0)</f>
        <v>2.3531557840665782E-4</v>
      </c>
    </row>
    <row r="56" spans="5:18" x14ac:dyDescent="0.2">
      <c r="E56" s="5" t="s">
        <v>10</v>
      </c>
      <c r="J56" s="5" t="s">
        <v>11</v>
      </c>
    </row>
    <row r="57" spans="5:18" x14ac:dyDescent="0.2">
      <c r="E57" s="10" t="s">
        <v>33</v>
      </c>
      <c r="F57" s="10" t="s">
        <v>18</v>
      </c>
      <c r="G57" s="10" t="s">
        <v>19</v>
      </c>
      <c r="H57" s="10" t="s">
        <v>32</v>
      </c>
      <c r="J57" s="10" t="s">
        <v>33</v>
      </c>
      <c r="K57" s="10" t="s">
        <v>18</v>
      </c>
      <c r="L57" s="10" t="s">
        <v>19</v>
      </c>
      <c r="M57" s="10" t="s">
        <v>32</v>
      </c>
    </row>
    <row r="58" spans="5:18" x14ac:dyDescent="0.2">
      <c r="E58" s="5" t="s">
        <v>29</v>
      </c>
      <c r="F58" s="5">
        <f>VLOOKUP(E56,victory!$A$6:$D$21,2,FALSE)</f>
        <v>37</v>
      </c>
      <c r="G58" s="5">
        <f>VLOOKUP(E56,victory!$A$6:$D$21,3,FALSE)</f>
        <v>11</v>
      </c>
      <c r="H58" s="5">
        <f>VLOOKUP(E56,victory!$A$6:$D$21,4,FALSE)</f>
        <v>5.5E-2</v>
      </c>
      <c r="J58" s="5" t="s">
        <v>29</v>
      </c>
      <c r="K58" s="5">
        <f>VLOOKUP(J56,victory!$A$6:$D$21,2,FALSE)</f>
        <v>59</v>
      </c>
      <c r="L58" s="5">
        <f>VLOOKUP(J56,victory!$A$6:$D$21,3,FALSE)</f>
        <v>6</v>
      </c>
      <c r="M58" s="5">
        <f>VLOOKUP(J56,victory!$A$6:$D$21,4,FALSE)</f>
        <v>0.03</v>
      </c>
    </row>
    <row r="59" spans="5:18" x14ac:dyDescent="0.2">
      <c r="E59" s="5" t="s">
        <v>31</v>
      </c>
      <c r="F59" s="5" t="e">
        <f>VLOOKUP(E56,inaugural!$A$6:$D$21,2,FALSE)</f>
        <v>#N/A</v>
      </c>
      <c r="G59" s="5" t="e">
        <f>VLOOKUP(E56,inaugural!$A$6:$D$21,3,FALSE)</f>
        <v>#N/A</v>
      </c>
      <c r="H59" s="5" t="e">
        <f>VLOOKUP(E56,inaugural!$A$6:$D$21,4,FALSE)</f>
        <v>#N/A</v>
      </c>
      <c r="J59" s="5" t="s">
        <v>31</v>
      </c>
      <c r="K59" s="5" t="e">
        <f>VLOOKUP(J56,inaugural!$A$6:$D$21,2,FALSE)</f>
        <v>#N/A</v>
      </c>
      <c r="L59" s="5" t="e">
        <f>VLOOKUP(J56,inaugural!$A$6:$D$21,3,FALSE)</f>
        <v>#N/A</v>
      </c>
      <c r="M59" s="5" t="e">
        <f>VLOOKUP(J56,inaugural!$A$6:$D$21,4,FALSE)</f>
        <v>#N/A</v>
      </c>
    </row>
    <row r="60" spans="5:18" x14ac:dyDescent="0.2">
      <c r="E60" s="5" t="s">
        <v>30</v>
      </c>
      <c r="F60" s="5">
        <f>VLOOKUP(E56,foreign!$A$6:$D$21,2,FALSE)</f>
        <v>95</v>
      </c>
      <c r="G60" s="5">
        <f>VLOOKUP(E56,foreign!$A$6:$D$21,3,FALSE)</f>
        <v>5</v>
      </c>
      <c r="H60" s="5">
        <f>VLOOKUP(E56,foreign!$A$6:$D$21,4,FALSE)</f>
        <v>2.5125628140703519E-2</v>
      </c>
      <c r="J60" s="5" t="s">
        <v>30</v>
      </c>
      <c r="K60" s="5">
        <f>VLOOKUP(J56,foreign!$A$6:$D$21,2,FALSE)</f>
        <v>72</v>
      </c>
      <c r="L60" s="5">
        <f>VLOOKUP(J56,foreign!$A$6:$D$21,3,FALSE)</f>
        <v>6</v>
      </c>
      <c r="M60" s="5">
        <f>VLOOKUP(J56,foreign!$A$6:$D$21,4,FALSE)</f>
        <v>3.015075376884422E-2</v>
      </c>
    </row>
    <row r="61" spans="5:18" x14ac:dyDescent="0.2">
      <c r="E61" s="5" t="s">
        <v>34</v>
      </c>
      <c r="F61" s="5" t="e">
        <f>VLOOKUP(E56,tragedy!$A$6:$D$21,2,FALSE)</f>
        <v>#N/A</v>
      </c>
      <c r="G61" s="5" t="e">
        <f>VLOOKUP(E56,tragedy!$A$6:$D$21,3,FALSE)</f>
        <v>#N/A</v>
      </c>
      <c r="H61" s="5" t="e">
        <f>VLOOKUP(E56,tragedy!$A$6:$D$21,4,FALSE)</f>
        <v>#N/A</v>
      </c>
      <c r="J61" s="5" t="s">
        <v>34</v>
      </c>
      <c r="K61" s="5" t="e">
        <f>VLOOKUP(J56,tragedy!$A$6:$D$21,2,FALSE)</f>
        <v>#N/A</v>
      </c>
      <c r="L61" s="5" t="e">
        <f>VLOOKUP(J56,tragedy!$A$6:$D$21,3,FALSE)</f>
        <v>#N/A</v>
      </c>
      <c r="M61" s="5" t="e">
        <f>VLOOKUP(J56,tragedy!$A$6:$D$21,4,FALSE)</f>
        <v>#N/A</v>
      </c>
    </row>
    <row r="62" spans="5:18" x14ac:dyDescent="0.2">
      <c r="E62" s="5" t="s">
        <v>35</v>
      </c>
      <c r="F62" s="5">
        <f>VLOOKUP(E56,sotu!$A$6:$D$21,2,FALSE)</f>
        <v>314</v>
      </c>
      <c r="G62" s="5">
        <f>VLOOKUP(E56,sotu!$A$6:$D$21,3,FALSE)</f>
        <v>4</v>
      </c>
      <c r="H62" s="5">
        <f>VLOOKUP(E56,sotu!$A$6:$D$21,4,FALSE)</f>
        <v>6.9444444444444441E-3</v>
      </c>
      <c r="J62" s="5" t="s">
        <v>35</v>
      </c>
      <c r="K62" s="5">
        <f>VLOOKUP(J56,sotu!$A$6:$D$21,2,FALSE)</f>
        <v>391</v>
      </c>
      <c r="L62" s="5">
        <f>VLOOKUP(J56,sotu!$A$6:$D$21,3,FALSE)</f>
        <v>3</v>
      </c>
      <c r="M62" s="5">
        <f>VLOOKUP(J56,sotu!$A$6:$D$21,4,FALSE)</f>
        <v>5.208333333333333E-3</v>
      </c>
    </row>
    <row r="63" spans="5:18" x14ac:dyDescent="0.2">
      <c r="E63" s="5" t="s">
        <v>36</v>
      </c>
      <c r="F63" s="5">
        <f>VLOOKUP(E56,un!$A$6:$D$20,2,FALSE)</f>
        <v>1198</v>
      </c>
      <c r="G63" s="5">
        <f>VLOOKUP(E56,un!$A$6:$D$20,3,FALSE)</f>
        <v>1</v>
      </c>
      <c r="H63" s="5">
        <f>VLOOKUP(E56,un!$A$6:$D$20,4,FALSE)</f>
        <v>3.0120481927710845E-3</v>
      </c>
      <c r="J63" s="5" t="s">
        <v>36</v>
      </c>
      <c r="K63" s="5">
        <f>VLOOKUP(J56,un!$A$6:$D$20,2,FALSE)</f>
        <v>260</v>
      </c>
      <c r="L63" s="5">
        <f>VLOOKUP(J56,un!$A$6:$D$20,3,FALSE)</f>
        <v>3</v>
      </c>
      <c r="M63" s="5">
        <f>VLOOKUP(J56,un!$A$6:$D$20,4,FALSE)</f>
        <v>9.0361445783132526E-3</v>
      </c>
    </row>
    <row r="64" spans="5:18" ht="17" thickBot="1" x14ac:dyDescent="0.25">
      <c r="E64" s="7" t="s">
        <v>28</v>
      </c>
      <c r="F64" s="7"/>
      <c r="G64" s="4">
        <f t="array" ref="G64">SUM(IF(NOT(ISNA(G58:G63)),G58:G63,""))</f>
        <v>21</v>
      </c>
      <c r="J64" s="7" t="s">
        <v>28</v>
      </c>
      <c r="K64" s="7"/>
      <c r="L64" s="4">
        <f t="array" ref="L64">SUM(IF(NOT(ISNA(L58:L63)),L58:L63,""))</f>
        <v>18</v>
      </c>
    </row>
    <row r="65" spans="5:18" ht="17" thickTop="1" x14ac:dyDescent="0.2">
      <c r="E65" s="6" t="s">
        <v>37</v>
      </c>
      <c r="F65" s="6">
        <f>IFERROR(AVERAGEIF(F58:F63,"&lt;&gt;#N/A"),"")</f>
        <v>411</v>
      </c>
      <c r="G65" s="6">
        <f>IFERROR(AVERAGEIF(G58:G63,"&lt;&gt;#N/A"),"")</f>
        <v>5.25</v>
      </c>
      <c r="H65" s="6">
        <f>IFERROR(AVERAGEIF(H58:H63,"&lt;&gt;#N/A"),"")</f>
        <v>2.2520530194479763E-2</v>
      </c>
      <c r="J65" s="6" t="s">
        <v>37</v>
      </c>
      <c r="K65" s="6">
        <f>IFERROR(AVERAGEIF(K58:K63,"&lt;&gt;#N/A"),"")</f>
        <v>195.5</v>
      </c>
      <c r="L65" s="6">
        <f>IFERROR(AVERAGEIF(L58:L63,"&lt;&gt;#N/A"),"")</f>
        <v>4.5</v>
      </c>
      <c r="M65" s="6">
        <f>IFERROR(AVERAGEIF(M58:M63,"&lt;&gt;#N/A"),"")</f>
        <v>1.8598807920122702E-2</v>
      </c>
    </row>
    <row r="66" spans="5:18" x14ac:dyDescent="0.2">
      <c r="E66" s="6" t="s">
        <v>38</v>
      </c>
      <c r="F66" s="6">
        <f t="array" ref="F66">IF(COUNT(F58:F63)&gt;1,_xlfn.STDEV.S(IF(NOT(ISNA(F58:F63)),F58:F63,"")),0)</f>
        <v>538.05513967746219</v>
      </c>
      <c r="G66" s="6">
        <f t="array" ref="G66">IF(COUNT(G58:G63)&gt;1,_xlfn.STDEV.S(IF(NOT(ISNA(G58:G63)),G58:G63,"")),0)</f>
        <v>4.1932485418030412</v>
      </c>
      <c r="H66" s="6">
        <f t="array" ref="H66">IF(COUNT(H58:H63)&gt;1,_xlfn.STDEV.S(IF(NOT(ISNA(H58:H63)),H58:H63,"")),0)</f>
        <v>2.3698789079195339E-2</v>
      </c>
      <c r="J66" s="6" t="s">
        <v>38</v>
      </c>
      <c r="K66" s="6">
        <f t="array" ref="K66">IF(COUNT(K58:K63)&gt;1,_xlfn.STDEV.S(IF(NOT(ISNA(K58:K63)),K58:K63,"")),0)</f>
        <v>159.44173439431304</v>
      </c>
      <c r="L66" s="6">
        <f t="array" ref="L66">IF(COUNT(L58:L63)&gt;1,_xlfn.STDEV.S(IF(NOT(ISNA(L58:L63)),L58:L63,"")),0)</f>
        <v>1.7320508075688772</v>
      </c>
      <c r="M66" s="6">
        <f t="array" ref="M66">IF(COUNT(M58:M63)&gt;1,_xlfn.STDEV.S(IF(NOT(ISNA(M58:M63)),M58:M63,"")),0)</f>
        <v>1.3343962100044713E-2</v>
      </c>
    </row>
    <row r="67" spans="5:18" x14ac:dyDescent="0.2">
      <c r="E67" s="6" t="s">
        <v>39</v>
      </c>
      <c r="F67" s="6">
        <f t="array" ref="F67">IF(COUNT(F58:F63)&gt;1,_xlfn.VAR.S(IF(NOT(ISNA(F58:F63)),F58:F63,"")),0)</f>
        <v>289503.33333333331</v>
      </c>
      <c r="G67" s="6">
        <f t="array" ref="G67">IF(COUNT(G58:G63)&gt;1,_xlfn.VAR.S(IF(NOT(ISNA(G58:G63)),G58:G63,"")),0)</f>
        <v>17.583333333333332</v>
      </c>
      <c r="H67" s="6">
        <f t="array" ref="H67">IF(COUNT(H58:H63)&gt;1,_xlfn.VAR.S(IF(NOT(ISNA(H58:H63)),H58:H63,"")),0)</f>
        <v>5.6163260382018825E-4</v>
      </c>
      <c r="J67" s="6" t="s">
        <v>39</v>
      </c>
      <c r="K67" s="6">
        <f t="array" ref="K67">IF(COUNT(K58:K63)&gt;1,_xlfn.VAR.S(IF(NOT(ISNA(K58:K63)),K58:K63,"")),0)</f>
        <v>25421.666666666668</v>
      </c>
      <c r="L67" s="6">
        <f t="array" ref="L67">IF(COUNT(L58:L63)&gt;1,_xlfn.VAR.S(IF(NOT(ISNA(L58:L63)),L58:L63,"")),0)</f>
        <v>3</v>
      </c>
      <c r="M67" s="6">
        <f t="array" ref="M67">IF(COUNT(M58:M63)&gt;1,_xlfn.VAR.S(IF(NOT(ISNA(M58:M63)),M58:M63,"")),0)</f>
        <v>1.7806132452742972E-4</v>
      </c>
    </row>
    <row r="69" spans="5:18" x14ac:dyDescent="0.2">
      <c r="E69" s="5" t="s">
        <v>13</v>
      </c>
      <c r="J69" s="5" t="s">
        <v>16</v>
      </c>
      <c r="O69" s="5" t="s">
        <v>14</v>
      </c>
    </row>
    <row r="70" spans="5:18" x14ac:dyDescent="0.2">
      <c r="E70" s="10" t="s">
        <v>33</v>
      </c>
      <c r="F70" s="10" t="s">
        <v>18</v>
      </c>
      <c r="G70" s="10" t="s">
        <v>19</v>
      </c>
      <c r="H70" s="10" t="s">
        <v>32</v>
      </c>
      <c r="J70" s="10" t="s">
        <v>33</v>
      </c>
      <c r="K70" s="10" t="s">
        <v>18</v>
      </c>
      <c r="L70" s="10" t="s">
        <v>19</v>
      </c>
      <c r="M70" s="10" t="s">
        <v>32</v>
      </c>
      <c r="O70" s="10" t="s">
        <v>33</v>
      </c>
      <c r="P70" s="10" t="s">
        <v>18</v>
      </c>
      <c r="Q70" s="10" t="s">
        <v>19</v>
      </c>
      <c r="R70" s="10" t="s">
        <v>32</v>
      </c>
    </row>
    <row r="71" spans="5:18" x14ac:dyDescent="0.2">
      <c r="E71" s="5" t="s">
        <v>29</v>
      </c>
      <c r="F71" s="5">
        <f>VLOOKUP(E69,victory!$A$6:$D$21,2,FALSE)</f>
        <v>84</v>
      </c>
      <c r="G71" s="5">
        <f>VLOOKUP(E69,victory!$A$6:$D$21,3,FALSE)</f>
        <v>4</v>
      </c>
      <c r="H71" s="5">
        <f>VLOOKUP(E69,victory!$A$6:$D$21,4,FALSE)</f>
        <v>0.02</v>
      </c>
      <c r="J71" s="5" t="s">
        <v>29</v>
      </c>
      <c r="K71" s="5">
        <f>VLOOKUP(J69,victory!$A$6:$D$21,2,FALSE)</f>
        <v>430</v>
      </c>
      <c r="L71" s="5">
        <f>VLOOKUP(J69,victory!$A$6:$D$21,3,FALSE)</f>
        <v>1</v>
      </c>
      <c r="M71" s="5">
        <f>VLOOKUP(J69,victory!$A$6:$D$21,4,FALSE)</f>
        <v>5.0000000000000001E-3</v>
      </c>
      <c r="O71" s="5" t="s">
        <v>29</v>
      </c>
      <c r="P71" s="5">
        <f>VLOOKUP(O69,victory!$A$6:$D$21,2,FALSE)</f>
        <v>431</v>
      </c>
      <c r="Q71" s="5">
        <f>VLOOKUP(O69,victory!$A$6:$D$21,3,FALSE)</f>
        <v>1</v>
      </c>
      <c r="R71" s="5">
        <f>VLOOKUP(O69,victory!$A$6:$D$21,4,FALSE)</f>
        <v>5.0000000000000001E-3</v>
      </c>
    </row>
    <row r="72" spans="5:18" x14ac:dyDescent="0.2">
      <c r="E72" s="5" t="s">
        <v>31</v>
      </c>
      <c r="F72" s="5">
        <f>VLOOKUP(E69,inaugural!$A$6:$D$21,2,FALSE)</f>
        <v>507</v>
      </c>
      <c r="G72" s="5">
        <f>VLOOKUP(E69,inaugural!$A$6:$D$21,3,FALSE)</f>
        <v>1</v>
      </c>
      <c r="H72" s="5">
        <f>VLOOKUP(E69,inaugural!$A$6:$D$21,4,FALSE)</f>
        <v>4.8543689320388345E-3</v>
      </c>
      <c r="J72" s="5" t="s">
        <v>31</v>
      </c>
      <c r="K72" s="5" t="e">
        <f>VLOOKUP(J69,inaugural!$A$6:$D$21,2,FALSE)</f>
        <v>#N/A</v>
      </c>
      <c r="L72" s="5" t="e">
        <f>VLOOKUP(J69,inaugural!$A$6:$D$21,3,FALSE)</f>
        <v>#N/A</v>
      </c>
      <c r="M72" s="5" t="e">
        <f>VLOOKUP(J69,inaugural!$A$6:$D$21,4,FALSE)</f>
        <v>#N/A</v>
      </c>
      <c r="O72" s="5" t="s">
        <v>31</v>
      </c>
      <c r="P72" s="5">
        <f>VLOOKUP(O69,inaugural!$A$6:$D$21,2,FALSE)</f>
        <v>518</v>
      </c>
      <c r="Q72" s="5">
        <f>VLOOKUP(O69,inaugural!$A$6:$D$21,3,FALSE)</f>
        <v>1</v>
      </c>
      <c r="R72" s="5">
        <f>VLOOKUP(O69,inaugural!$A$6:$D$21,4,FALSE)</f>
        <v>4.8543689320388345E-3</v>
      </c>
    </row>
    <row r="73" spans="5:18" x14ac:dyDescent="0.2">
      <c r="E73" s="5" t="s">
        <v>30</v>
      </c>
      <c r="F73" s="5" t="e">
        <f>VLOOKUP(E69,foreign!$A$6:$D$21,2,FALSE)</f>
        <v>#N/A</v>
      </c>
      <c r="G73" s="5" t="e">
        <f>VLOOKUP(E69,foreign!$A$6:$D$21,3,FALSE)</f>
        <v>#N/A</v>
      </c>
      <c r="H73" s="5" t="e">
        <f>VLOOKUP(E69,foreign!$A$6:$D$21,4,FALSE)</f>
        <v>#N/A</v>
      </c>
      <c r="J73" s="5" t="s">
        <v>30</v>
      </c>
      <c r="K73" s="5" t="e">
        <f>VLOOKUP(J69,foreign!$A$6:$D$21,2,FALSE)</f>
        <v>#N/A</v>
      </c>
      <c r="L73" s="5" t="e">
        <f>VLOOKUP(J69,foreign!$A$6:$D$21,3,FALSE)</f>
        <v>#N/A</v>
      </c>
      <c r="M73" s="5" t="e">
        <f>VLOOKUP(J69,foreign!$A$6:$D$21,4,FALSE)</f>
        <v>#N/A</v>
      </c>
      <c r="O73" s="5" t="s">
        <v>30</v>
      </c>
      <c r="P73" s="5" t="e">
        <f>VLOOKUP(O69,foreign!$A$6:$D$21,2,FALSE)</f>
        <v>#N/A</v>
      </c>
      <c r="Q73" s="5" t="e">
        <f>VLOOKUP(O69,foreign!$A$6:$D$21,3,FALSE)</f>
        <v>#N/A</v>
      </c>
      <c r="R73" s="5" t="e">
        <f>VLOOKUP(O69,foreign!$A$6:$D$21,4,FALSE)</f>
        <v>#N/A</v>
      </c>
    </row>
    <row r="74" spans="5:18" x14ac:dyDescent="0.2">
      <c r="E74" s="5" t="s">
        <v>34</v>
      </c>
      <c r="F74" s="5">
        <f>VLOOKUP(E69,tragedy!$A$6:$D$21,2,FALSE)</f>
        <v>146</v>
      </c>
      <c r="G74" s="5">
        <f>VLOOKUP(E69,tragedy!$A$6:$D$21,3,FALSE)</f>
        <v>2</v>
      </c>
      <c r="H74" s="5">
        <f>VLOOKUP(E69,tragedy!$A$6:$D$21,4,FALSE)</f>
        <v>9.852216748768473E-3</v>
      </c>
      <c r="J74" s="5" t="s">
        <v>34</v>
      </c>
      <c r="K74" s="5" t="e">
        <f>VLOOKUP(J69,tragedy!$A$6:$D$21,2,FALSE)</f>
        <v>#N/A</v>
      </c>
      <c r="L74" s="5" t="e">
        <f>VLOOKUP(J69,tragedy!$A$6:$D$21,3,FALSE)</f>
        <v>#N/A</v>
      </c>
      <c r="M74" s="5" t="e">
        <f>VLOOKUP(J69,tragedy!$A$6:$D$21,4,FALSE)</f>
        <v>#N/A</v>
      </c>
      <c r="O74" s="5" t="s">
        <v>34</v>
      </c>
      <c r="P74" s="5">
        <f>VLOOKUP(O69,tragedy!$A$6:$D$21,2,FALSE)</f>
        <v>152</v>
      </c>
      <c r="Q74" s="5">
        <f>VLOOKUP(O69,tragedy!$A$6:$D$21,3,FALSE)</f>
        <v>2</v>
      </c>
      <c r="R74" s="5">
        <f>VLOOKUP(O69,tragedy!$A$6:$D$21,4,FALSE)</f>
        <v>9.852216748768473E-3</v>
      </c>
    </row>
    <row r="75" spans="5:18" x14ac:dyDescent="0.2">
      <c r="E75" s="5" t="s">
        <v>35</v>
      </c>
      <c r="F75" s="5">
        <f>VLOOKUP(E69,sotu!$A$6:$D$21,2,FALSE)</f>
        <v>389</v>
      </c>
      <c r="G75" s="5">
        <f>VLOOKUP(E69,sotu!$A$6:$D$21,3,FALSE)</f>
        <v>3</v>
      </c>
      <c r="H75" s="5">
        <f>VLOOKUP(E69,sotu!$A$6:$D$21,4,FALSE)</f>
        <v>5.208333333333333E-3</v>
      </c>
      <c r="J75" s="5" t="s">
        <v>35</v>
      </c>
      <c r="K75" s="5" t="e">
        <f>VLOOKUP(J69,sotu!$A$6:$D$21,2,FALSE)</f>
        <v>#N/A</v>
      </c>
      <c r="L75" s="5" t="e">
        <f>VLOOKUP(J69,sotu!$A$6:$D$21,3,FALSE)</f>
        <v>#N/A</v>
      </c>
      <c r="M75" s="5" t="e">
        <f>VLOOKUP(J69,sotu!$A$6:$D$21,4,FALSE)</f>
        <v>#N/A</v>
      </c>
      <c r="O75" s="5" t="s">
        <v>35</v>
      </c>
      <c r="P75" s="5">
        <f>VLOOKUP(O69,sotu!$A$6:$D$21,2,FALSE)</f>
        <v>394</v>
      </c>
      <c r="Q75" s="5">
        <f>VLOOKUP(O69,sotu!$A$6:$D$21,3,FALSE)</f>
        <v>3</v>
      </c>
      <c r="R75" s="5">
        <f>VLOOKUP(O69,sotu!$A$6:$D$21,4,FALSE)</f>
        <v>5.208333333333333E-3</v>
      </c>
    </row>
    <row r="76" spans="5:18" x14ac:dyDescent="0.2">
      <c r="E76" s="5" t="s">
        <v>36</v>
      </c>
      <c r="F76" s="5">
        <f>VLOOKUP(E69,un!$A$6:$D$20,2,FALSE)</f>
        <v>258</v>
      </c>
      <c r="G76" s="5">
        <f>VLOOKUP(E69,un!$A$6:$D$20,3,FALSE)</f>
        <v>3</v>
      </c>
      <c r="H76" s="5">
        <f>VLOOKUP(E69,un!$A$6:$D$20,4,FALSE)</f>
        <v>9.0361445783132526E-3</v>
      </c>
      <c r="J76" s="5" t="s">
        <v>36</v>
      </c>
      <c r="K76" s="5" t="e">
        <f>VLOOKUP(J69,un!$A$6:$D$20,2,FALSE)</f>
        <v>#N/A</v>
      </c>
      <c r="L76" s="5" t="e">
        <f>VLOOKUP(J69,un!$A$6:$D$20,3,FALSE)</f>
        <v>#N/A</v>
      </c>
      <c r="M76" s="5" t="e">
        <f>VLOOKUP(J69,un!$A$6:$D$20,4,FALSE)</f>
        <v>#N/A</v>
      </c>
      <c r="O76" s="5" t="s">
        <v>36</v>
      </c>
      <c r="P76" s="5">
        <f>VLOOKUP(O69,un!$A$6:$D$20,2,FALSE)</f>
        <v>262</v>
      </c>
      <c r="Q76" s="5">
        <f>VLOOKUP(O69,un!$A$6:$D$20,3,FALSE)</f>
        <v>3</v>
      </c>
      <c r="R76" s="5">
        <f>VLOOKUP(O69,un!$A$6:$D$20,4,FALSE)</f>
        <v>9.0361445783132526E-3</v>
      </c>
    </row>
    <row r="77" spans="5:18" ht="17" thickBot="1" x14ac:dyDescent="0.25">
      <c r="E77" s="7" t="s">
        <v>28</v>
      </c>
      <c r="F77" s="7"/>
      <c r="G77" s="4">
        <f t="array" ref="G77">SUM(IF(NOT(ISNA(G71:G76)),G71:G76,""))</f>
        <v>13</v>
      </c>
      <c r="J77" s="7" t="s">
        <v>28</v>
      </c>
      <c r="K77" s="7"/>
      <c r="L77" s="4">
        <f t="array" ref="L77">SUM(IF(NOT(ISNA(L71:L76)),L71:L76,""))</f>
        <v>1</v>
      </c>
      <c r="O77" s="7" t="s">
        <v>28</v>
      </c>
      <c r="P77" s="7"/>
      <c r="Q77" s="4">
        <f t="array" ref="Q77">SUM(IF(NOT(ISNA(Q71:Q76)),Q71:Q76,""))</f>
        <v>10</v>
      </c>
    </row>
    <row r="78" spans="5:18" ht="17" thickTop="1" x14ac:dyDescent="0.2">
      <c r="E78" s="6" t="s">
        <v>37</v>
      </c>
      <c r="F78" s="6">
        <f>IFERROR(AVERAGEIF(F71:F76,"&lt;&gt;#N/A"),"")</f>
        <v>276.8</v>
      </c>
      <c r="G78" s="6">
        <f>IFERROR(AVERAGEIF(G71:G76,"&lt;&gt;#N/A"),"")</f>
        <v>2.6</v>
      </c>
      <c r="H78" s="6">
        <f>IFERROR(AVERAGEIF(H71:H76,"&lt;&gt;#N/A"),"")</f>
        <v>9.7902127184907803E-3</v>
      </c>
      <c r="J78" s="6" t="s">
        <v>37</v>
      </c>
      <c r="K78" s="6">
        <f>IFERROR(AVERAGEIF(K71:K76,"&lt;&gt;#N/A"),"")</f>
        <v>430</v>
      </c>
      <c r="L78" s="6">
        <f>IFERROR(AVERAGEIF(L71:L76,"&lt;&gt;#N/A"),"")</f>
        <v>1</v>
      </c>
      <c r="M78" s="6">
        <f>IFERROR(AVERAGEIF(M71:M76,"&lt;&gt;#N/A"),"")</f>
        <v>5.0000000000000001E-3</v>
      </c>
      <c r="O78" s="6" t="s">
        <v>37</v>
      </c>
      <c r="P78" s="6">
        <f>IFERROR(AVERAGEIF(P71:P76,"&lt;&gt;#N/A"),"")</f>
        <v>351.4</v>
      </c>
      <c r="Q78" s="6">
        <f>IFERROR(AVERAGEIF(Q71:Q76,"&lt;&gt;#N/A"),"")</f>
        <v>2</v>
      </c>
      <c r="R78" s="6">
        <f>IFERROR(AVERAGEIF(R71:R76,"&lt;&gt;#N/A"),"")</f>
        <v>6.7902127184907776E-3</v>
      </c>
    </row>
    <row r="79" spans="5:18" x14ac:dyDescent="0.2">
      <c r="E79" s="6" t="s">
        <v>38</v>
      </c>
      <c r="F79" s="6">
        <f t="array" ref="F79">IF(COUNT(F71:F76)&gt;1,_xlfn.STDEV.S(IF(NOT(ISNA(F71:F76)),F71:F76,"")),0)</f>
        <v>173.36002999538272</v>
      </c>
      <c r="G79" s="6">
        <f t="array" ref="G79">IF(COUNT(G71:G76)&gt;1,_xlfn.STDEV.S(IF(NOT(ISNA(G71:G76)),G71:G76,"")),0)</f>
        <v>1.1401754250991383</v>
      </c>
      <c r="H79" s="6">
        <f t="array" ref="H79">IF(COUNT(H71:H76)&gt;1,_xlfn.STDEV.S(IF(NOT(ISNA(H71:H76)),H71:H76,"")),0)</f>
        <v>6.1271606837477299E-3</v>
      </c>
      <c r="J79" s="6" t="s">
        <v>38</v>
      </c>
      <c r="K79" s="6">
        <f t="array" ref="K79">IF(COUNT(K71:K76)&gt;1,_xlfn.STDEV.S(IF(NOT(ISNA(K71:K76)),K71:K76,"")),0)</f>
        <v>0</v>
      </c>
      <c r="L79" s="6">
        <f t="array" ref="L79">IF(COUNT(L71:L76)&gt;1,_xlfn.STDEV.S(IF(NOT(ISNA(L71:L76)),L71:L76,"")),0)</f>
        <v>0</v>
      </c>
      <c r="M79" s="6">
        <f t="array" ref="M79">IF(COUNT(M71:M76)&gt;1,_xlfn.STDEV.S(IF(NOT(ISNA(M71:M76)),M71:M76,"")),0)</f>
        <v>0</v>
      </c>
      <c r="O79" s="6" t="s">
        <v>38</v>
      </c>
      <c r="P79" s="6">
        <f t="array" ref="P79">IF(COUNT(P71:P76)&gt;1,_xlfn.STDEV.S(IF(NOT(ISNA(P71:P76)),P71:P76,"")),0)</f>
        <v>144.61950075975227</v>
      </c>
      <c r="Q79" s="6">
        <f t="array" ref="Q79">IF(COUNT(Q71:Q76)&gt;1,_xlfn.STDEV.S(IF(NOT(ISNA(Q71:Q76)),Q71:Q76,"")),0)</f>
        <v>1</v>
      </c>
      <c r="R79" s="6">
        <f t="array" ref="R79">IF(COUNT(R71:R76)&gt;1,_xlfn.STDEV.S(IF(NOT(ISNA(R71:R76)),R71:R76,"")),0)</f>
        <v>2.4430909588357185E-3</v>
      </c>
    </row>
    <row r="80" spans="5:18" x14ac:dyDescent="0.2">
      <c r="E80" s="6" t="s">
        <v>39</v>
      </c>
      <c r="F80" s="6">
        <f t="array" ref="F80">IF(COUNT(F71:F76)&gt;1,_xlfn.VAR.S(IF(NOT(ISNA(F71:F76)),F71:F76,"")),0)</f>
        <v>30053.699999999997</v>
      </c>
      <c r="G80" s="6">
        <f t="array" ref="G80">IF(COUNT(G71:G76)&gt;1,_xlfn.VAR.S(IF(NOT(ISNA(G71:G76)),G71:G76,"")),0)</f>
        <v>1.3000000000000007</v>
      </c>
      <c r="H80" s="6">
        <f t="array" ref="H80">IF(COUNT(H71:H76)&gt;1,_xlfn.VAR.S(IF(NOT(ISNA(H71:H76)),H71:H76,"")),0)</f>
        <v>3.7542098044463946E-5</v>
      </c>
      <c r="J80" s="6" t="s">
        <v>39</v>
      </c>
      <c r="K80" s="6">
        <f t="array" ref="K80">IF(COUNT(K71:K76)&gt;1,_xlfn.VAR.S(IF(NOT(ISNA(K71:K76)),K71:K76,"")),0)</f>
        <v>0</v>
      </c>
      <c r="L80" s="6">
        <f t="array" ref="L80">IF(COUNT(L71:L76)&gt;1,_xlfn.VAR.S(IF(NOT(ISNA(L71:L76)),L71:L76,"")),0)</f>
        <v>0</v>
      </c>
      <c r="M80" s="6">
        <f t="array" ref="M80">IF(COUNT(M71:M76)&gt;1,_xlfn.VAR.S(IF(NOT(ISNA(M71:M76)),M71:M76,"")),0)</f>
        <v>0</v>
      </c>
      <c r="O80" s="6" t="s">
        <v>39</v>
      </c>
      <c r="P80" s="6">
        <f t="array" ref="P80">IF(COUNT(P71:P76)&gt;1,_xlfn.VAR.S(IF(NOT(ISNA(P71:P76)),P71:P76,"")),0)</f>
        <v>20914.799999999988</v>
      </c>
      <c r="Q80" s="6">
        <f t="array" ref="Q80">IF(COUNT(Q71:Q76)&gt;1,_xlfn.VAR.S(IF(NOT(ISNA(Q71:Q76)),Q71:Q76,"")),0)</f>
        <v>1</v>
      </c>
      <c r="R80" s="6">
        <f t="array" ref="R80">IF(COUNT(R71:R76)&gt;1,_xlfn.VAR.S(IF(NOT(ISNA(R71:R76)),R71:R76,"")),0)</f>
        <v>5.9686934331448303E-6</v>
      </c>
    </row>
  </sheetData>
  <mergeCells count="17">
    <mergeCell ref="O77:P77"/>
    <mergeCell ref="J77:K77"/>
    <mergeCell ref="E77:F77"/>
    <mergeCell ref="J64:K64"/>
    <mergeCell ref="E64:F64"/>
    <mergeCell ref="E51:F51"/>
    <mergeCell ref="J51:K51"/>
    <mergeCell ref="O51:P51"/>
    <mergeCell ref="E12:F12"/>
    <mergeCell ref="J12:K12"/>
    <mergeCell ref="O12:P12"/>
    <mergeCell ref="E38:F38"/>
    <mergeCell ref="O25:P25"/>
    <mergeCell ref="J25:K25"/>
    <mergeCell ref="E25:F25"/>
    <mergeCell ref="O38:P38"/>
    <mergeCell ref="J38:K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showRuler="0" workbookViewId="0">
      <selection activeCell="L21" sqref="L21"/>
    </sheetView>
  </sheetViews>
  <sheetFormatPr baseColWidth="10" defaultRowHeight="16" x14ac:dyDescent="0.2"/>
  <sheetData>
    <row r="1" spans="1:8" x14ac:dyDescent="0.2">
      <c r="A1" s="2" t="s">
        <v>21</v>
      </c>
      <c r="B1" s="2">
        <v>667</v>
      </c>
    </row>
    <row r="2" spans="1:8" x14ac:dyDescent="0.2">
      <c r="A2" s="2" t="s">
        <v>22</v>
      </c>
      <c r="B2" s="2">
        <v>2085</v>
      </c>
    </row>
    <row r="3" spans="1:8" x14ac:dyDescent="0.2">
      <c r="A3" s="2" t="s">
        <v>40</v>
      </c>
      <c r="B3" s="2">
        <f>C22/B2</f>
        <v>9.5923261390887291E-2</v>
      </c>
    </row>
    <row r="5" spans="1:8" x14ac:dyDescent="0.2">
      <c r="A5" s="10" t="s">
        <v>20</v>
      </c>
      <c r="B5" s="10" t="s">
        <v>18</v>
      </c>
      <c r="C5" s="10" t="s">
        <v>19</v>
      </c>
      <c r="D5" s="10" t="s">
        <v>32</v>
      </c>
      <c r="F5" s="10" t="s">
        <v>23</v>
      </c>
      <c r="G5" s="10" t="s">
        <v>19</v>
      </c>
      <c r="H5" s="10" t="s">
        <v>32</v>
      </c>
    </row>
    <row r="6" spans="1:8" x14ac:dyDescent="0.2">
      <c r="A6" s="3" t="s">
        <v>0</v>
      </c>
      <c r="B6" s="3">
        <v>5</v>
      </c>
      <c r="C6" s="3">
        <v>47</v>
      </c>
      <c r="D6" s="3">
        <f>C6/$C$22</f>
        <v>0.23499999999999999</v>
      </c>
      <c r="F6" s="3" t="s">
        <v>24</v>
      </c>
      <c r="G6" s="3">
        <f>SUM(G11,C8,C9,C11,C15,C21)</f>
        <v>111</v>
      </c>
      <c r="H6" s="3">
        <f>G6/G8</f>
        <v>0.55500000000000005</v>
      </c>
    </row>
    <row r="7" spans="1:8" x14ac:dyDescent="0.2">
      <c r="A7" s="5" t="s">
        <v>2</v>
      </c>
      <c r="B7" s="5">
        <v>9</v>
      </c>
      <c r="C7" s="5">
        <v>31</v>
      </c>
      <c r="D7" s="5">
        <f>C7/$C$22</f>
        <v>0.155</v>
      </c>
      <c r="F7" s="5" t="s">
        <v>25</v>
      </c>
      <c r="G7" s="5">
        <f>SUM(G12,C7,C10,C12,C13,C14,C16,C17,C18,C19,C20)</f>
        <v>89</v>
      </c>
      <c r="H7" s="5">
        <f>G7/G8</f>
        <v>0.44500000000000001</v>
      </c>
    </row>
    <row r="8" spans="1:8" ht="17" thickBot="1" x14ac:dyDescent="0.25">
      <c r="A8" s="3" t="s">
        <v>1</v>
      </c>
      <c r="B8" s="3">
        <v>13</v>
      </c>
      <c r="C8" s="3">
        <v>26</v>
      </c>
      <c r="D8" s="3">
        <f>C8/$C$22</f>
        <v>0.13</v>
      </c>
      <c r="F8" s="4" t="s">
        <v>28</v>
      </c>
      <c r="G8" s="4">
        <f>SUM(G6:G7)</f>
        <v>200</v>
      </c>
      <c r="H8" s="4">
        <f>SUM(H6:H7)</f>
        <v>1</v>
      </c>
    </row>
    <row r="9" spans="1:8" ht="17" thickTop="1" x14ac:dyDescent="0.2">
      <c r="A9" s="3" t="s">
        <v>5</v>
      </c>
      <c r="B9" s="3">
        <v>15</v>
      </c>
      <c r="C9" s="3">
        <v>22</v>
      </c>
      <c r="D9" s="3">
        <f>C9/$C$22</f>
        <v>0.11</v>
      </c>
    </row>
    <row r="10" spans="1:8" x14ac:dyDescent="0.2">
      <c r="A10" s="5" t="s">
        <v>7</v>
      </c>
      <c r="B10" s="5">
        <v>29</v>
      </c>
      <c r="C10" s="5">
        <v>12</v>
      </c>
      <c r="D10" s="5">
        <f>C10/$C$22</f>
        <v>0.06</v>
      </c>
      <c r="F10" s="10" t="s">
        <v>20</v>
      </c>
      <c r="G10" s="10" t="s">
        <v>19</v>
      </c>
      <c r="H10" s="10" t="s">
        <v>32</v>
      </c>
    </row>
    <row r="11" spans="1:8" x14ac:dyDescent="0.2">
      <c r="A11" s="3" t="s">
        <v>6</v>
      </c>
      <c r="B11" s="3">
        <v>33</v>
      </c>
      <c r="C11" s="3">
        <v>12</v>
      </c>
      <c r="D11" s="3">
        <f>C11/$C$22</f>
        <v>0.06</v>
      </c>
      <c r="F11" s="3" t="s">
        <v>27</v>
      </c>
      <c r="G11" s="3">
        <v>44</v>
      </c>
      <c r="H11" s="3">
        <f>G11/G13</f>
        <v>0.93617021276595747</v>
      </c>
    </row>
    <row r="12" spans="1:8" x14ac:dyDescent="0.2">
      <c r="A12" s="5" t="s">
        <v>10</v>
      </c>
      <c r="B12" s="5">
        <v>37</v>
      </c>
      <c r="C12" s="5">
        <v>11</v>
      </c>
      <c r="D12" s="5">
        <f>C12/$C$22</f>
        <v>5.5E-2</v>
      </c>
      <c r="F12" s="5" t="s">
        <v>26</v>
      </c>
      <c r="G12" s="5">
        <v>3</v>
      </c>
      <c r="H12" s="5">
        <f>G12/G13</f>
        <v>6.3829787234042548E-2</v>
      </c>
    </row>
    <row r="13" spans="1:8" ht="17" thickBot="1" x14ac:dyDescent="0.25">
      <c r="A13" s="5" t="s">
        <v>4</v>
      </c>
      <c r="B13" s="5">
        <v>38</v>
      </c>
      <c r="C13" s="5">
        <v>11</v>
      </c>
      <c r="D13" s="5">
        <f>C13/$C$22</f>
        <v>5.5E-2</v>
      </c>
      <c r="F13" s="4" t="s">
        <v>28</v>
      </c>
      <c r="G13" s="4">
        <f>SUM(G11:G12)</f>
        <v>47</v>
      </c>
      <c r="H13" s="4">
        <f>SUM(H11:H12)</f>
        <v>1</v>
      </c>
    </row>
    <row r="14" spans="1:8" ht="17" thickTop="1" x14ac:dyDescent="0.2">
      <c r="A14" s="5" t="s">
        <v>11</v>
      </c>
      <c r="B14" s="5">
        <v>59</v>
      </c>
      <c r="C14" s="5">
        <v>6</v>
      </c>
      <c r="D14" s="5">
        <f>C14/$C$22</f>
        <v>0.03</v>
      </c>
    </row>
    <row r="15" spans="1:8" x14ac:dyDescent="0.2">
      <c r="A15" s="3" t="s">
        <v>12</v>
      </c>
      <c r="B15" s="3">
        <v>63</v>
      </c>
      <c r="C15" s="3">
        <v>6</v>
      </c>
      <c r="D15" s="3">
        <f>C15/$C$22</f>
        <v>0.03</v>
      </c>
    </row>
    <row r="16" spans="1:8" x14ac:dyDescent="0.2">
      <c r="A16" s="5" t="s">
        <v>3</v>
      </c>
      <c r="B16" s="5">
        <v>71</v>
      </c>
      <c r="C16" s="5">
        <v>5</v>
      </c>
      <c r="D16" s="5">
        <f>C16/$C$22</f>
        <v>2.5000000000000001E-2</v>
      </c>
    </row>
    <row r="17" spans="1:4" x14ac:dyDescent="0.2">
      <c r="A17" s="5" t="s">
        <v>13</v>
      </c>
      <c r="B17" s="5">
        <v>84</v>
      </c>
      <c r="C17" s="5">
        <v>4</v>
      </c>
      <c r="D17" s="5">
        <f>C17/$C$22</f>
        <v>0.02</v>
      </c>
    </row>
    <row r="18" spans="1:4" x14ac:dyDescent="0.2">
      <c r="A18" s="5" t="s">
        <v>9</v>
      </c>
      <c r="B18" s="5">
        <v>87</v>
      </c>
      <c r="C18" s="5">
        <v>4</v>
      </c>
      <c r="D18" s="5">
        <f>C18/$C$22</f>
        <v>0.02</v>
      </c>
    </row>
    <row r="19" spans="1:4" x14ac:dyDescent="0.2">
      <c r="A19" s="5" t="s">
        <v>16</v>
      </c>
      <c r="B19" s="5">
        <v>430</v>
      </c>
      <c r="C19" s="5">
        <v>1</v>
      </c>
      <c r="D19" s="5">
        <f>C19/$C$22</f>
        <v>5.0000000000000001E-3</v>
      </c>
    </row>
    <row r="20" spans="1:4" x14ac:dyDescent="0.2">
      <c r="A20" s="5" t="s">
        <v>14</v>
      </c>
      <c r="B20" s="5">
        <v>431</v>
      </c>
      <c r="C20" s="5">
        <v>1</v>
      </c>
      <c r="D20" s="5">
        <f>C20/$C$22</f>
        <v>5.0000000000000001E-3</v>
      </c>
    </row>
    <row r="21" spans="1:4" x14ac:dyDescent="0.2">
      <c r="A21" s="3" t="s">
        <v>15</v>
      </c>
      <c r="B21" s="3">
        <v>511</v>
      </c>
      <c r="C21" s="3">
        <v>1</v>
      </c>
      <c r="D21" s="3">
        <f>C21/$C$22</f>
        <v>5.0000000000000001E-3</v>
      </c>
    </row>
    <row r="22" spans="1:4" ht="17" thickBot="1" x14ac:dyDescent="0.25">
      <c r="A22" s="7" t="s">
        <v>28</v>
      </c>
      <c r="B22" s="7"/>
      <c r="C22" s="4">
        <f>SUM(C6:C21)</f>
        <v>200</v>
      </c>
      <c r="D22" s="4">
        <f>SUM(D6:D21)</f>
        <v>1.0000000000000002</v>
      </c>
    </row>
    <row r="23" spans="1:4" ht="17" thickTop="1" x14ac:dyDescent="0.2"/>
    <row r="24" spans="1:4" x14ac:dyDescent="0.2">
      <c r="A24" s="1"/>
      <c r="C24" s="1"/>
    </row>
  </sheetData>
  <sortState ref="A6:C21">
    <sortCondition ref="A6:A21"/>
  </sortState>
  <mergeCells count="1">
    <mergeCell ref="A22:B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showRuler="0" workbookViewId="0">
      <selection activeCell="I14" sqref="I14"/>
    </sheetView>
  </sheetViews>
  <sheetFormatPr baseColWidth="10" defaultRowHeight="16" x14ac:dyDescent="0.2"/>
  <cols>
    <col min="1" max="3" width="10.7109375" customWidth="1"/>
  </cols>
  <sheetData>
    <row r="1" spans="1:8" x14ac:dyDescent="0.2">
      <c r="A1" s="2" t="s">
        <v>21</v>
      </c>
      <c r="B1" s="2">
        <v>883</v>
      </c>
    </row>
    <row r="2" spans="1:8" x14ac:dyDescent="0.2">
      <c r="A2" s="2" t="s">
        <v>22</v>
      </c>
      <c r="B2" s="2">
        <v>2385</v>
      </c>
    </row>
    <row r="3" spans="1:8" x14ac:dyDescent="0.2">
      <c r="A3" s="2" t="s">
        <v>40</v>
      </c>
      <c r="B3" s="2">
        <f>C17/B2</f>
        <v>8.6373165618448641E-2</v>
      </c>
    </row>
    <row r="5" spans="1:8" x14ac:dyDescent="0.2">
      <c r="A5" s="10" t="s">
        <v>20</v>
      </c>
      <c r="B5" s="10" t="s">
        <v>18</v>
      </c>
      <c r="C5" s="10" t="s">
        <v>19</v>
      </c>
      <c r="D5" s="10" t="s">
        <v>32</v>
      </c>
      <c r="F5" s="10" t="s">
        <v>23</v>
      </c>
      <c r="G5" s="10" t="s">
        <v>19</v>
      </c>
      <c r="H5" s="10" t="s">
        <v>32</v>
      </c>
    </row>
    <row r="6" spans="1:8" x14ac:dyDescent="0.2">
      <c r="A6" s="3" t="s">
        <v>1</v>
      </c>
      <c r="B6" s="3">
        <v>5</v>
      </c>
      <c r="C6" s="3">
        <v>68</v>
      </c>
      <c r="D6" s="3">
        <f>C6/$C$17</f>
        <v>0.3300970873786408</v>
      </c>
      <c r="F6" s="3" t="s">
        <v>24</v>
      </c>
      <c r="G6" s="3">
        <f>SUM(C6,C7,C8,C10,C13)</f>
        <v>172</v>
      </c>
      <c r="H6" s="3">
        <f>G6/G8</f>
        <v>0.83495145631067957</v>
      </c>
    </row>
    <row r="7" spans="1:8" x14ac:dyDescent="0.2">
      <c r="A7" s="5" t="s">
        <v>0</v>
      </c>
      <c r="B7" s="5">
        <v>6</v>
      </c>
      <c r="C7" s="5">
        <v>62</v>
      </c>
      <c r="D7" s="5">
        <f>C7/$C$17</f>
        <v>0.30097087378640774</v>
      </c>
      <c r="F7" s="5" t="s">
        <v>25</v>
      </c>
      <c r="G7" s="5">
        <f>SUM(G12,C9,C11,C12,C14,C15,C16)</f>
        <v>34</v>
      </c>
      <c r="H7" s="5">
        <f>G7/G8</f>
        <v>0.1650485436893204</v>
      </c>
    </row>
    <row r="8" spans="1:8" ht="17" thickBot="1" x14ac:dyDescent="0.25">
      <c r="A8" s="3" t="s">
        <v>6</v>
      </c>
      <c r="B8" s="3">
        <v>13</v>
      </c>
      <c r="C8" s="3">
        <v>23</v>
      </c>
      <c r="D8" s="3">
        <f>C8/$C$17</f>
        <v>0.11165048543689321</v>
      </c>
      <c r="F8" s="4" t="s">
        <v>28</v>
      </c>
      <c r="G8" s="4">
        <f>SUM(G6:G7)</f>
        <v>206</v>
      </c>
      <c r="H8" s="4">
        <f>SUM(H6:H7)</f>
        <v>1</v>
      </c>
    </row>
    <row r="9" spans="1:8" ht="17" thickTop="1" x14ac:dyDescent="0.2">
      <c r="A9" s="5" t="s">
        <v>3</v>
      </c>
      <c r="B9" s="5">
        <v>19</v>
      </c>
      <c r="C9" s="5">
        <v>17</v>
      </c>
      <c r="D9" s="5">
        <f>C9/$C$17</f>
        <v>8.2524271844660199E-2</v>
      </c>
    </row>
    <row r="10" spans="1:8" x14ac:dyDescent="0.2">
      <c r="A10" s="3" t="s">
        <v>5</v>
      </c>
      <c r="B10" s="3">
        <v>21</v>
      </c>
      <c r="C10" s="3">
        <v>16</v>
      </c>
      <c r="D10" s="3">
        <f>C10/$C$17</f>
        <v>7.7669902912621352E-2</v>
      </c>
      <c r="F10" s="10" t="s">
        <v>20</v>
      </c>
      <c r="G10" s="10" t="s">
        <v>19</v>
      </c>
      <c r="H10" s="10" t="s">
        <v>32</v>
      </c>
    </row>
    <row r="11" spans="1:8" x14ac:dyDescent="0.2">
      <c r="A11" s="5" t="s">
        <v>4</v>
      </c>
      <c r="B11" s="5">
        <v>35</v>
      </c>
      <c r="C11" s="5">
        <v>10</v>
      </c>
      <c r="D11" s="5">
        <f>C11/$C$17</f>
        <v>4.8543689320388349E-2</v>
      </c>
      <c r="F11" s="3" t="s">
        <v>27</v>
      </c>
      <c r="G11" s="3">
        <v>62</v>
      </c>
      <c r="H11" s="3">
        <f>G11/G13</f>
        <v>1</v>
      </c>
    </row>
    <row r="12" spans="1:8" x14ac:dyDescent="0.2">
      <c r="A12" s="5" t="s">
        <v>2</v>
      </c>
      <c r="B12" s="5">
        <v>111</v>
      </c>
      <c r="C12" s="5">
        <v>3</v>
      </c>
      <c r="D12" s="5">
        <f>C12/$C$17</f>
        <v>1.4563106796116505E-2</v>
      </c>
      <c r="F12" s="5" t="s">
        <v>26</v>
      </c>
      <c r="G12" s="5">
        <v>0</v>
      </c>
      <c r="H12" s="5">
        <f>G12/G13</f>
        <v>0</v>
      </c>
    </row>
    <row r="13" spans="1:8" ht="17" thickBot="1" x14ac:dyDescent="0.25">
      <c r="A13" s="3" t="s">
        <v>12</v>
      </c>
      <c r="B13" s="3">
        <v>144</v>
      </c>
      <c r="C13" s="3">
        <v>3</v>
      </c>
      <c r="D13" s="3">
        <f>C13/$C$17</f>
        <v>1.4563106796116505E-2</v>
      </c>
      <c r="F13" s="4" t="s">
        <v>28</v>
      </c>
      <c r="G13" s="4">
        <f>SUM(G11:G12)</f>
        <v>62</v>
      </c>
      <c r="H13" s="4">
        <f>SUM(H11:H12)</f>
        <v>1</v>
      </c>
    </row>
    <row r="14" spans="1:8" ht="17" thickTop="1" x14ac:dyDescent="0.2">
      <c r="A14" s="5" t="s">
        <v>7</v>
      </c>
      <c r="B14" s="5">
        <v>213</v>
      </c>
      <c r="C14" s="5">
        <v>2</v>
      </c>
      <c r="D14" s="5">
        <f>C14/$C$17</f>
        <v>9.7087378640776691E-3</v>
      </c>
    </row>
    <row r="15" spans="1:8" x14ac:dyDescent="0.2">
      <c r="A15" s="5" t="s">
        <v>13</v>
      </c>
      <c r="B15" s="5">
        <v>507</v>
      </c>
      <c r="C15" s="5">
        <v>1</v>
      </c>
      <c r="D15" s="5">
        <f>C15/$C$17</f>
        <v>4.8543689320388345E-3</v>
      </c>
    </row>
    <row r="16" spans="1:8" x14ac:dyDescent="0.2">
      <c r="A16" s="5" t="s">
        <v>14</v>
      </c>
      <c r="B16" s="5">
        <v>518</v>
      </c>
      <c r="C16" s="5">
        <v>1</v>
      </c>
      <c r="D16" s="5">
        <f>C16/$C$17</f>
        <v>4.8543689320388345E-3</v>
      </c>
    </row>
    <row r="17" spans="1:4" ht="17" thickBot="1" x14ac:dyDescent="0.25">
      <c r="A17" s="7" t="s">
        <v>28</v>
      </c>
      <c r="B17" s="7"/>
      <c r="C17" s="4">
        <f>SUM(C6:C16)</f>
        <v>206</v>
      </c>
      <c r="D17" s="4">
        <f>SUM(D6:D16)</f>
        <v>0.99999999999999978</v>
      </c>
    </row>
    <row r="18" spans="1:4" ht="17" thickTop="1" x14ac:dyDescent="0.2"/>
    <row r="19" spans="1:4" x14ac:dyDescent="0.2">
      <c r="A19" s="1"/>
      <c r="C19" s="1"/>
    </row>
  </sheetData>
  <sortState ref="A6:C16">
    <sortCondition ref="A6:A16"/>
  </sortState>
  <mergeCells count="1">
    <mergeCell ref="A17:B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showRuler="0" workbookViewId="0">
      <selection activeCell="A17" sqref="A17:D17"/>
    </sheetView>
  </sheetViews>
  <sheetFormatPr baseColWidth="10" defaultRowHeight="16" x14ac:dyDescent="0.2"/>
  <cols>
    <col min="1" max="4" width="10.7109375" customWidth="1"/>
  </cols>
  <sheetData>
    <row r="1" spans="1:8" x14ac:dyDescent="0.2">
      <c r="A1" s="2" t="s">
        <v>21</v>
      </c>
      <c r="B1" s="2">
        <v>780</v>
      </c>
    </row>
    <row r="2" spans="1:8" x14ac:dyDescent="0.2">
      <c r="A2" s="2" t="s">
        <v>22</v>
      </c>
      <c r="B2" s="2">
        <v>2587</v>
      </c>
    </row>
    <row r="3" spans="1:8" x14ac:dyDescent="0.2">
      <c r="A3" s="2" t="s">
        <v>40</v>
      </c>
      <c r="B3" s="2">
        <f>C17/B2</f>
        <v>7.6923076923076927E-2</v>
      </c>
    </row>
    <row r="5" spans="1:8" x14ac:dyDescent="0.2">
      <c r="A5" s="10" t="s">
        <v>20</v>
      </c>
      <c r="B5" s="10" t="s">
        <v>18</v>
      </c>
      <c r="C5" s="10" t="s">
        <v>19</v>
      </c>
      <c r="D5" s="10" t="s">
        <v>32</v>
      </c>
      <c r="F5" s="10" t="s">
        <v>23</v>
      </c>
      <c r="G5" s="10" t="s">
        <v>19</v>
      </c>
      <c r="H5" s="10" t="s">
        <v>32</v>
      </c>
    </row>
    <row r="6" spans="1:8" x14ac:dyDescent="0.2">
      <c r="A6" s="3" t="s">
        <v>0</v>
      </c>
      <c r="B6" s="3">
        <v>5</v>
      </c>
      <c r="C6" s="3">
        <v>73</v>
      </c>
      <c r="D6" s="3">
        <f>C6/$C$17</f>
        <v>0.36683417085427134</v>
      </c>
      <c r="F6" s="3" t="s">
        <v>24</v>
      </c>
      <c r="G6" s="3">
        <f>SUM(G11,C7,C9,C13,C16)</f>
        <v>125</v>
      </c>
      <c r="H6" s="3">
        <f>G6/G8</f>
        <v>0.62814070351758799</v>
      </c>
    </row>
    <row r="7" spans="1:8" x14ac:dyDescent="0.2">
      <c r="A7" s="3" t="s">
        <v>1</v>
      </c>
      <c r="B7" s="3">
        <v>9</v>
      </c>
      <c r="C7" s="3">
        <v>43</v>
      </c>
      <c r="D7" s="3">
        <f>C7/$C$17</f>
        <v>0.21608040201005024</v>
      </c>
      <c r="F7" s="5" t="s">
        <v>25</v>
      </c>
      <c r="G7" s="5">
        <f>SUM(G12,C8,C10,C11,C12,C14,C15)</f>
        <v>74</v>
      </c>
      <c r="H7" s="5">
        <f>G7/G8</f>
        <v>0.37185929648241206</v>
      </c>
    </row>
    <row r="8" spans="1:8" ht="17" thickBot="1" x14ac:dyDescent="0.25">
      <c r="A8" s="5" t="s">
        <v>2</v>
      </c>
      <c r="B8" s="5">
        <v>13</v>
      </c>
      <c r="C8" s="5">
        <v>22</v>
      </c>
      <c r="D8" s="5">
        <f>C8/$C$17</f>
        <v>0.11055276381909548</v>
      </c>
      <c r="F8" s="4" t="s">
        <v>28</v>
      </c>
      <c r="G8" s="4">
        <f>SUM(G6:G7)</f>
        <v>199</v>
      </c>
      <c r="H8" s="4">
        <f>SUM(H6:H7)</f>
        <v>1</v>
      </c>
    </row>
    <row r="9" spans="1:8" ht="17" thickTop="1" x14ac:dyDescent="0.2">
      <c r="A9" s="3" t="s">
        <v>5</v>
      </c>
      <c r="B9" s="3">
        <v>17</v>
      </c>
      <c r="C9" s="3">
        <v>21</v>
      </c>
      <c r="D9" s="3">
        <f>C9/$C$17</f>
        <v>0.10552763819095477</v>
      </c>
    </row>
    <row r="10" spans="1:8" x14ac:dyDescent="0.2">
      <c r="A10" s="5" t="s">
        <v>4</v>
      </c>
      <c r="B10" s="5">
        <v>55</v>
      </c>
      <c r="C10" s="5">
        <v>8</v>
      </c>
      <c r="D10" s="5">
        <f>C10/$C$17</f>
        <v>4.0201005025125629E-2</v>
      </c>
      <c r="F10" s="10" t="s">
        <v>20</v>
      </c>
      <c r="G10" s="10" t="s">
        <v>19</v>
      </c>
      <c r="H10" s="10" t="s">
        <v>32</v>
      </c>
    </row>
    <row r="11" spans="1:8" x14ac:dyDescent="0.2">
      <c r="A11" s="5" t="s">
        <v>7</v>
      </c>
      <c r="B11" s="5">
        <v>60</v>
      </c>
      <c r="C11" s="5">
        <v>7</v>
      </c>
      <c r="D11" s="5">
        <f>C11/$C$17</f>
        <v>3.5175879396984924E-2</v>
      </c>
      <c r="F11" s="3" t="s">
        <v>27</v>
      </c>
      <c r="G11" s="3">
        <v>52</v>
      </c>
      <c r="H11" s="3">
        <f>G11/G13</f>
        <v>0.71232876712328763</v>
      </c>
    </row>
    <row r="12" spans="1:8" x14ac:dyDescent="0.2">
      <c r="A12" s="5" t="s">
        <v>11</v>
      </c>
      <c r="B12" s="5">
        <v>72</v>
      </c>
      <c r="C12" s="5">
        <v>6</v>
      </c>
      <c r="D12" s="5">
        <f>C12/$C$17</f>
        <v>3.015075376884422E-2</v>
      </c>
      <c r="F12" s="5" t="s">
        <v>26</v>
      </c>
      <c r="G12" s="5">
        <v>21</v>
      </c>
      <c r="H12" s="5">
        <f>G12/G13</f>
        <v>0.28767123287671231</v>
      </c>
    </row>
    <row r="13" spans="1:8" ht="17" thickBot="1" x14ac:dyDescent="0.25">
      <c r="A13" s="3" t="s">
        <v>12</v>
      </c>
      <c r="B13" s="3">
        <v>84</v>
      </c>
      <c r="C13" s="3">
        <v>6</v>
      </c>
      <c r="D13" s="3">
        <f>C13/$C$17</f>
        <v>3.015075376884422E-2</v>
      </c>
      <c r="F13" s="4" t="s">
        <v>28</v>
      </c>
      <c r="G13" s="4">
        <f>SUM(G11:G12)</f>
        <v>73</v>
      </c>
      <c r="H13" s="4">
        <f>SUM(H11:H12)</f>
        <v>1</v>
      </c>
    </row>
    <row r="14" spans="1:8" ht="17" thickTop="1" x14ac:dyDescent="0.2">
      <c r="A14" s="5" t="s">
        <v>10</v>
      </c>
      <c r="B14" s="5">
        <v>95</v>
      </c>
      <c r="C14" s="5">
        <v>5</v>
      </c>
      <c r="D14" s="5">
        <f>C14/$C$17</f>
        <v>2.5125628140703519E-2</v>
      </c>
    </row>
    <row r="15" spans="1:8" x14ac:dyDescent="0.2">
      <c r="A15" s="5" t="s">
        <v>3</v>
      </c>
      <c r="B15" s="5">
        <v>98</v>
      </c>
      <c r="C15" s="5">
        <v>5</v>
      </c>
      <c r="D15" s="5">
        <f>C15/$C$17</f>
        <v>2.5125628140703519E-2</v>
      </c>
    </row>
    <row r="16" spans="1:8" x14ac:dyDescent="0.2">
      <c r="A16" s="3" t="s">
        <v>6</v>
      </c>
      <c r="B16" s="3">
        <v>181</v>
      </c>
      <c r="C16" s="3">
        <v>3</v>
      </c>
      <c r="D16" s="3">
        <f>C16/$C$17</f>
        <v>1.507537688442211E-2</v>
      </c>
    </row>
    <row r="17" spans="1:4" ht="17" thickBot="1" x14ac:dyDescent="0.25">
      <c r="A17" s="7" t="s">
        <v>28</v>
      </c>
      <c r="B17" s="7"/>
      <c r="C17" s="4">
        <f>SUM(C6:C16)</f>
        <v>199</v>
      </c>
      <c r="D17" s="4">
        <f>SUM(D6:D16)</f>
        <v>1</v>
      </c>
    </row>
    <row r="18" spans="1:4" ht="17" thickTop="1" x14ac:dyDescent="0.2"/>
    <row r="19" spans="1:4" x14ac:dyDescent="0.2">
      <c r="A19" s="1"/>
      <c r="C19" s="1"/>
      <c r="D19" s="1"/>
    </row>
  </sheetData>
  <sortState ref="A6:C16">
    <sortCondition ref="A6:A16"/>
  </sortState>
  <mergeCells count="1">
    <mergeCell ref="A17:B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4598-4EEB-2F48-8BAB-47951948A984}">
  <dimension ref="A1:H20"/>
  <sheetViews>
    <sheetView workbookViewId="0">
      <selection activeCell="B23" sqref="B23"/>
    </sheetView>
  </sheetViews>
  <sheetFormatPr baseColWidth="10" defaultRowHeight="16" x14ac:dyDescent="0.2"/>
  <cols>
    <col min="1" max="3" width="10.7109375" customWidth="1"/>
  </cols>
  <sheetData>
    <row r="1" spans="1:8" x14ac:dyDescent="0.2">
      <c r="A1" s="2" t="s">
        <v>21</v>
      </c>
      <c r="B1" s="2">
        <v>590</v>
      </c>
    </row>
    <row r="2" spans="1:8" x14ac:dyDescent="0.2">
      <c r="A2" s="2" t="s">
        <v>22</v>
      </c>
      <c r="B2" s="2">
        <v>1735</v>
      </c>
    </row>
    <row r="3" spans="1:8" x14ac:dyDescent="0.2">
      <c r="A3" s="2" t="s">
        <v>40</v>
      </c>
      <c r="B3" s="2">
        <f>C18/B2</f>
        <v>0.1170028818443804</v>
      </c>
    </row>
    <row r="5" spans="1:8" x14ac:dyDescent="0.2">
      <c r="A5" s="10" t="s">
        <v>20</v>
      </c>
      <c r="B5" s="10" t="s">
        <v>18</v>
      </c>
      <c r="C5" s="10" t="s">
        <v>19</v>
      </c>
      <c r="D5" s="10" t="s">
        <v>32</v>
      </c>
      <c r="F5" s="10" t="s">
        <v>23</v>
      </c>
      <c r="G5" s="10" t="s">
        <v>19</v>
      </c>
      <c r="H5" s="10" t="s">
        <v>32</v>
      </c>
    </row>
    <row r="6" spans="1:8" x14ac:dyDescent="0.2">
      <c r="A6" s="3" t="s">
        <v>0</v>
      </c>
      <c r="B6" s="3">
        <v>1</v>
      </c>
      <c r="C6" s="3">
        <v>90</v>
      </c>
      <c r="D6" s="3">
        <f>C6/$C$18</f>
        <v>0.44334975369458129</v>
      </c>
      <c r="F6" s="3" t="s">
        <v>24</v>
      </c>
      <c r="G6" s="3">
        <f>SUM(G11,C7,C8,C10,C13)</f>
        <v>150</v>
      </c>
      <c r="H6" s="3">
        <f>G6/G8</f>
        <v>0.73891625615763545</v>
      </c>
    </row>
    <row r="7" spans="1:8" x14ac:dyDescent="0.2">
      <c r="A7" s="3" t="s">
        <v>1</v>
      </c>
      <c r="B7" s="3">
        <v>8</v>
      </c>
      <c r="C7" s="3">
        <v>26</v>
      </c>
      <c r="D7" s="3">
        <f>C7/$C$18</f>
        <v>0.12807881773399016</v>
      </c>
      <c r="F7" s="5" t="s">
        <v>25</v>
      </c>
      <c r="G7" s="5">
        <f>SUM(G12,C9,C11,C12,C14,C15,C16,C17)</f>
        <v>53</v>
      </c>
      <c r="H7" s="5">
        <f>G7/G8</f>
        <v>0.26108374384236455</v>
      </c>
    </row>
    <row r="8" spans="1:8" ht="17" thickBot="1" x14ac:dyDescent="0.25">
      <c r="A8" s="3" t="s">
        <v>5</v>
      </c>
      <c r="B8" s="3">
        <v>12</v>
      </c>
      <c r="C8" s="3">
        <v>20</v>
      </c>
      <c r="D8" s="3">
        <f>C8/$C$18</f>
        <v>9.8522167487684734E-2</v>
      </c>
      <c r="F8" s="4" t="s">
        <v>28</v>
      </c>
      <c r="G8" s="4">
        <f>SUM(G6:G7)</f>
        <v>203</v>
      </c>
      <c r="H8" s="4">
        <f>SUM(H6:H7)</f>
        <v>1</v>
      </c>
    </row>
    <row r="9" spans="1:8" ht="17" thickTop="1" x14ac:dyDescent="0.2">
      <c r="A9" s="5" t="s">
        <v>8</v>
      </c>
      <c r="B9" s="5">
        <v>16</v>
      </c>
      <c r="C9" s="5">
        <v>17</v>
      </c>
      <c r="D9" s="5">
        <f>C9/$C$18</f>
        <v>8.3743842364532015E-2</v>
      </c>
    </row>
    <row r="10" spans="1:8" x14ac:dyDescent="0.2">
      <c r="A10" s="3" t="s">
        <v>6</v>
      </c>
      <c r="B10" s="3">
        <v>23</v>
      </c>
      <c r="C10" s="3">
        <v>14</v>
      </c>
      <c r="D10" s="3">
        <f>C10/$C$18</f>
        <v>6.8965517241379309E-2</v>
      </c>
      <c r="F10" s="10" t="s">
        <v>20</v>
      </c>
      <c r="G10" s="10" t="s">
        <v>19</v>
      </c>
      <c r="H10" s="10" t="s">
        <v>32</v>
      </c>
    </row>
    <row r="11" spans="1:8" x14ac:dyDescent="0.2">
      <c r="A11" s="5" t="s">
        <v>3</v>
      </c>
      <c r="B11" s="5">
        <v>28</v>
      </c>
      <c r="C11" s="5">
        <v>13</v>
      </c>
      <c r="D11" s="5">
        <f>C11/$C$18</f>
        <v>6.4039408866995079E-2</v>
      </c>
      <c r="F11" s="3" t="s">
        <v>27</v>
      </c>
      <c r="G11" s="3">
        <v>84</v>
      </c>
      <c r="H11" s="3">
        <f>G11/G13</f>
        <v>0.93333333333333335</v>
      </c>
    </row>
    <row r="12" spans="1:8" x14ac:dyDescent="0.2">
      <c r="A12" s="5" t="s">
        <v>4</v>
      </c>
      <c r="B12" s="5">
        <v>33</v>
      </c>
      <c r="C12" s="5">
        <v>10</v>
      </c>
      <c r="D12" s="5">
        <f>C12/$C$18</f>
        <v>4.9261083743842367E-2</v>
      </c>
      <c r="F12" s="5" t="s">
        <v>26</v>
      </c>
      <c r="G12" s="5">
        <v>6</v>
      </c>
      <c r="H12" s="5">
        <f>G12/G13</f>
        <v>6.6666666666666666E-2</v>
      </c>
    </row>
    <row r="13" spans="1:8" ht="17" thickBot="1" x14ac:dyDescent="0.25">
      <c r="A13" s="3" t="s">
        <v>12</v>
      </c>
      <c r="B13" s="3">
        <v>53</v>
      </c>
      <c r="C13" s="3">
        <v>6</v>
      </c>
      <c r="D13" s="3">
        <f>C13/$C$18</f>
        <v>2.9556650246305417E-2</v>
      </c>
      <c r="F13" s="4" t="s">
        <v>28</v>
      </c>
      <c r="G13" s="4">
        <f>SUM(G11:G12)</f>
        <v>90</v>
      </c>
      <c r="H13" s="4">
        <f>SUM(H11:H12)</f>
        <v>1</v>
      </c>
    </row>
    <row r="14" spans="1:8" ht="17" thickTop="1" x14ac:dyDescent="0.2">
      <c r="A14" s="5" t="s">
        <v>13</v>
      </c>
      <c r="B14" s="5">
        <v>146</v>
      </c>
      <c r="C14" s="5">
        <v>2</v>
      </c>
      <c r="D14" s="5">
        <f>C14/$C$18</f>
        <v>9.852216748768473E-3</v>
      </c>
    </row>
    <row r="15" spans="1:8" x14ac:dyDescent="0.2">
      <c r="A15" s="5" t="s">
        <v>14</v>
      </c>
      <c r="B15" s="5">
        <v>152</v>
      </c>
      <c r="C15" s="5">
        <v>2</v>
      </c>
      <c r="D15" s="5">
        <f>C15/$C$18</f>
        <v>9.852216748768473E-3</v>
      </c>
    </row>
    <row r="16" spans="1:8" x14ac:dyDescent="0.2">
      <c r="A16" s="5" t="s">
        <v>9</v>
      </c>
      <c r="B16" s="5">
        <v>167</v>
      </c>
      <c r="C16" s="5">
        <v>2</v>
      </c>
      <c r="D16" s="5">
        <f>C16/$C$18</f>
        <v>9.852216748768473E-3</v>
      </c>
    </row>
    <row r="17" spans="1:5" x14ac:dyDescent="0.2">
      <c r="A17" s="5" t="s">
        <v>7</v>
      </c>
      <c r="B17" s="5">
        <v>427</v>
      </c>
      <c r="C17" s="5">
        <v>1</v>
      </c>
      <c r="D17" s="5">
        <f>C17/$C$18</f>
        <v>4.9261083743842365E-3</v>
      </c>
    </row>
    <row r="18" spans="1:5" ht="17" thickBot="1" x14ac:dyDescent="0.25">
      <c r="A18" s="7" t="s">
        <v>28</v>
      </c>
      <c r="B18" s="7"/>
      <c r="C18" s="4">
        <f>SUM(C6:C17)</f>
        <v>203</v>
      </c>
      <c r="D18" s="4">
        <f>SUM(D6:D17)</f>
        <v>1</v>
      </c>
    </row>
    <row r="19" spans="1:5" ht="17" thickTop="1" x14ac:dyDescent="0.2">
      <c r="E19" s="1"/>
    </row>
    <row r="20" spans="1:5" x14ac:dyDescent="0.2">
      <c r="A20" s="1"/>
      <c r="C20" s="1"/>
      <c r="D20" s="1"/>
      <c r="E20" s="1"/>
    </row>
  </sheetData>
  <sortState ref="A6:C17">
    <sortCondition ref="A6:A17"/>
  </sortState>
  <mergeCells count="1">
    <mergeCell ref="A18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showRuler="0" workbookViewId="0">
      <selection activeCell="F11" activeCellId="1" sqref="F6:H6 F11:H11"/>
    </sheetView>
  </sheetViews>
  <sheetFormatPr baseColWidth="10" defaultRowHeight="16" x14ac:dyDescent="0.2"/>
  <cols>
    <col min="1" max="3" width="10.7109375" customWidth="1"/>
  </cols>
  <sheetData>
    <row r="1" spans="1:8" x14ac:dyDescent="0.2">
      <c r="A1" s="2" t="s">
        <v>21</v>
      </c>
      <c r="B1" s="2">
        <v>1667</v>
      </c>
    </row>
    <row r="2" spans="1:8" x14ac:dyDescent="0.2">
      <c r="A2" s="2" t="s">
        <v>22</v>
      </c>
      <c r="B2" s="2">
        <v>7514</v>
      </c>
    </row>
    <row r="3" spans="1:8" x14ac:dyDescent="0.2">
      <c r="A3" s="2" t="s">
        <v>40</v>
      </c>
      <c r="B3" s="2">
        <f>C21/B2</f>
        <v>7.665690710673409E-2</v>
      </c>
    </row>
    <row r="5" spans="1:8" x14ac:dyDescent="0.2">
      <c r="A5" s="10" t="s">
        <v>20</v>
      </c>
      <c r="B5" s="10" t="s">
        <v>18</v>
      </c>
      <c r="C5" s="10" t="s">
        <v>19</v>
      </c>
      <c r="D5" s="10" t="s">
        <v>32</v>
      </c>
      <c r="F5" s="10" t="s">
        <v>23</v>
      </c>
      <c r="G5" s="10" t="s">
        <v>19</v>
      </c>
      <c r="H5" s="10" t="s">
        <v>32</v>
      </c>
    </row>
    <row r="6" spans="1:8" x14ac:dyDescent="0.2">
      <c r="A6" s="3" t="s">
        <v>0</v>
      </c>
      <c r="B6" s="3">
        <v>5</v>
      </c>
      <c r="C6" s="3">
        <v>172</v>
      </c>
      <c r="D6" s="3">
        <f>C6/$C$21</f>
        <v>0.2986111111111111</v>
      </c>
      <c r="F6" s="3" t="s">
        <v>24</v>
      </c>
      <c r="G6" s="3">
        <f>SUM(G11,C7,C11,C12,C19,C20)</f>
        <v>253</v>
      </c>
      <c r="H6" s="3">
        <f>G6/G8</f>
        <v>0.4392361111111111</v>
      </c>
    </row>
    <row r="7" spans="1:8" x14ac:dyDescent="0.2">
      <c r="A7" s="3" t="s">
        <v>1</v>
      </c>
      <c r="B7" s="3">
        <v>8</v>
      </c>
      <c r="C7" s="3">
        <v>122</v>
      </c>
      <c r="D7" s="3">
        <f>C7/$C$21</f>
        <v>0.21180555555555555</v>
      </c>
      <c r="F7" s="5" t="s">
        <v>25</v>
      </c>
      <c r="G7" s="5">
        <f>SUM(G12,C8,C9,C10,C13,C14,C15,C16,C17,C18)</f>
        <v>323</v>
      </c>
      <c r="H7" s="5">
        <f>G7/G8</f>
        <v>0.56076388888888884</v>
      </c>
    </row>
    <row r="8" spans="1:8" ht="17" thickBot="1" x14ac:dyDescent="0.25">
      <c r="A8" s="5" t="s">
        <v>2</v>
      </c>
      <c r="B8" s="5">
        <v>9</v>
      </c>
      <c r="C8" s="5">
        <v>106</v>
      </c>
      <c r="D8" s="5">
        <f>C8/$C$21</f>
        <v>0.18402777777777779</v>
      </c>
      <c r="F8" s="4" t="s">
        <v>28</v>
      </c>
      <c r="G8" s="4">
        <f>SUM(G6:G7)</f>
        <v>576</v>
      </c>
      <c r="H8" s="4">
        <f>SUM(H6:H7)</f>
        <v>1</v>
      </c>
    </row>
    <row r="9" spans="1:8" ht="17" thickTop="1" x14ac:dyDescent="0.2">
      <c r="A9" s="5" t="s">
        <v>3</v>
      </c>
      <c r="B9" s="5">
        <v>17</v>
      </c>
      <c r="C9" s="5">
        <v>60</v>
      </c>
      <c r="D9" s="5">
        <f>C9/$C$21</f>
        <v>0.10416666666666667</v>
      </c>
    </row>
    <row r="10" spans="1:8" x14ac:dyDescent="0.2">
      <c r="A10" s="5" t="s">
        <v>4</v>
      </c>
      <c r="B10" s="5">
        <v>28</v>
      </c>
      <c r="C10" s="5">
        <v>35</v>
      </c>
      <c r="D10" s="5">
        <f>C10/$C$21</f>
        <v>6.0763888888888888E-2</v>
      </c>
      <c r="F10" s="10" t="s">
        <v>20</v>
      </c>
      <c r="G10" s="10" t="s">
        <v>19</v>
      </c>
      <c r="H10" s="10" t="s">
        <v>32</v>
      </c>
    </row>
    <row r="11" spans="1:8" x14ac:dyDescent="0.2">
      <c r="A11" s="3" t="s">
        <v>5</v>
      </c>
      <c r="B11" s="3">
        <v>46</v>
      </c>
      <c r="C11" s="3">
        <v>26</v>
      </c>
      <c r="D11" s="3">
        <f>C11/$C$21</f>
        <v>4.5138888888888888E-2</v>
      </c>
      <c r="F11" s="3" t="s">
        <v>27</v>
      </c>
      <c r="G11" s="3">
        <v>84</v>
      </c>
      <c r="H11" s="3">
        <f>G11/G13</f>
        <v>0.48837209302325579</v>
      </c>
    </row>
    <row r="12" spans="1:8" x14ac:dyDescent="0.2">
      <c r="A12" s="3" t="s">
        <v>6</v>
      </c>
      <c r="B12" s="3">
        <v>63</v>
      </c>
      <c r="C12" s="3">
        <v>19</v>
      </c>
      <c r="D12" s="3">
        <f>C12/$C$21</f>
        <v>3.2986111111111112E-2</v>
      </c>
      <c r="F12" s="5" t="s">
        <v>26</v>
      </c>
      <c r="G12" s="5">
        <v>88</v>
      </c>
      <c r="H12" s="5">
        <f>G12/G13</f>
        <v>0.51162790697674421</v>
      </c>
    </row>
    <row r="13" spans="1:8" ht="17" thickBot="1" x14ac:dyDescent="0.25">
      <c r="A13" s="5" t="s">
        <v>9</v>
      </c>
      <c r="B13" s="5">
        <v>116</v>
      </c>
      <c r="C13" s="5">
        <v>11</v>
      </c>
      <c r="D13" s="5">
        <f>C13/$C$21</f>
        <v>1.9097222222222224E-2</v>
      </c>
      <c r="F13" s="4" t="s">
        <v>28</v>
      </c>
      <c r="G13" s="4">
        <f>SUM(G11:G12)</f>
        <v>172</v>
      </c>
      <c r="H13" s="4">
        <f>SUM(H11:H12)</f>
        <v>1</v>
      </c>
    </row>
    <row r="14" spans="1:8" ht="17" thickTop="1" x14ac:dyDescent="0.2">
      <c r="A14" s="5" t="s">
        <v>7</v>
      </c>
      <c r="B14" s="5">
        <v>126</v>
      </c>
      <c r="C14" s="5">
        <v>10</v>
      </c>
      <c r="D14" s="5">
        <f>C14/$C$21</f>
        <v>1.7361111111111112E-2</v>
      </c>
    </row>
    <row r="15" spans="1:8" x14ac:dyDescent="0.2">
      <c r="A15" s="5" t="s">
        <v>10</v>
      </c>
      <c r="B15" s="5">
        <v>314</v>
      </c>
      <c r="C15" s="5">
        <v>4</v>
      </c>
      <c r="D15" s="5">
        <f>C15/$C$21</f>
        <v>6.9444444444444441E-3</v>
      </c>
    </row>
    <row r="16" spans="1:8" x14ac:dyDescent="0.2">
      <c r="A16" s="5" t="s">
        <v>13</v>
      </c>
      <c r="B16" s="5">
        <v>389</v>
      </c>
      <c r="C16" s="5">
        <v>3</v>
      </c>
      <c r="D16" s="5">
        <f>C16/$C$21</f>
        <v>5.208333333333333E-3</v>
      </c>
    </row>
    <row r="17" spans="1:5" x14ac:dyDescent="0.2">
      <c r="A17" s="5" t="s">
        <v>11</v>
      </c>
      <c r="B17" s="5">
        <v>391</v>
      </c>
      <c r="C17" s="5">
        <v>3</v>
      </c>
      <c r="D17" s="5">
        <f>C17/$C$21</f>
        <v>5.208333333333333E-3</v>
      </c>
    </row>
    <row r="18" spans="1:5" x14ac:dyDescent="0.2">
      <c r="A18" s="5" t="s">
        <v>14</v>
      </c>
      <c r="B18" s="5">
        <v>394</v>
      </c>
      <c r="C18" s="5">
        <v>3</v>
      </c>
      <c r="D18" s="5">
        <f>C18/$C$21</f>
        <v>5.208333333333333E-3</v>
      </c>
    </row>
    <row r="19" spans="1:5" x14ac:dyDescent="0.2">
      <c r="A19" s="3" t="s">
        <v>12</v>
      </c>
      <c r="B19" s="3">
        <v>1666</v>
      </c>
      <c r="C19" s="3">
        <v>1</v>
      </c>
      <c r="D19" s="3">
        <f>C19/$C$21</f>
        <v>1.736111111111111E-3</v>
      </c>
    </row>
    <row r="20" spans="1:5" x14ac:dyDescent="0.2">
      <c r="A20" s="3" t="s">
        <v>17</v>
      </c>
      <c r="B20" s="3">
        <v>1667</v>
      </c>
      <c r="C20" s="3">
        <v>1</v>
      </c>
      <c r="D20" s="3">
        <f>C20/$C$21</f>
        <v>1.736111111111111E-3</v>
      </c>
    </row>
    <row r="21" spans="1:5" ht="17" thickBot="1" x14ac:dyDescent="0.25">
      <c r="A21" s="7" t="s">
        <v>28</v>
      </c>
      <c r="B21" s="7"/>
      <c r="C21" s="4">
        <f>SUM(C6:C20)</f>
        <v>576</v>
      </c>
      <c r="D21" s="4">
        <f>SUM(D6:D20)</f>
        <v>1</v>
      </c>
    </row>
    <row r="22" spans="1:5" ht="17" thickTop="1" x14ac:dyDescent="0.2">
      <c r="E22" s="1"/>
    </row>
    <row r="23" spans="1:5" x14ac:dyDescent="0.2">
      <c r="A23" s="1"/>
      <c r="C23" s="1"/>
      <c r="D23" s="1"/>
      <c r="E23" s="1"/>
    </row>
  </sheetData>
  <sortState ref="B6:D20">
    <sortCondition ref="B6:B20"/>
  </sortState>
  <mergeCells count="1">
    <mergeCell ref="A21:B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showRuler="0" workbookViewId="0">
      <selection activeCell="F25" sqref="F25"/>
    </sheetView>
  </sheetViews>
  <sheetFormatPr baseColWidth="10" defaultRowHeight="16" x14ac:dyDescent="0.2"/>
  <cols>
    <col min="1" max="3" width="10.7109375" customWidth="1"/>
  </cols>
  <sheetData>
    <row r="1" spans="1:8" x14ac:dyDescent="0.2">
      <c r="A1" s="2" t="s">
        <v>21</v>
      </c>
      <c r="B1" s="2">
        <v>1340</v>
      </c>
    </row>
    <row r="2" spans="1:8" x14ac:dyDescent="0.2">
      <c r="A2" s="2" t="s">
        <v>22</v>
      </c>
      <c r="B2" s="2">
        <v>5148</v>
      </c>
    </row>
    <row r="3" spans="1:8" x14ac:dyDescent="0.2">
      <c r="A3" s="2" t="s">
        <v>40</v>
      </c>
      <c r="B3" s="2">
        <f>C20/B2</f>
        <v>6.4491064491064495E-2</v>
      </c>
    </row>
    <row r="5" spans="1:8" x14ac:dyDescent="0.2">
      <c r="A5" s="10" t="s">
        <v>20</v>
      </c>
      <c r="B5" s="10" t="s">
        <v>18</v>
      </c>
      <c r="C5" s="10" t="s">
        <v>19</v>
      </c>
      <c r="D5" s="10" t="s">
        <v>32</v>
      </c>
      <c r="F5" s="10" t="s">
        <v>23</v>
      </c>
      <c r="G5" s="10" t="s">
        <v>19</v>
      </c>
      <c r="H5" s="10" t="s">
        <v>32</v>
      </c>
    </row>
    <row r="6" spans="1:8" x14ac:dyDescent="0.2">
      <c r="A6" s="3" t="s">
        <v>0</v>
      </c>
      <c r="B6" s="3">
        <v>6</v>
      </c>
      <c r="C6" s="3">
        <v>128</v>
      </c>
      <c r="D6" s="3">
        <f>C6/$C$20</f>
        <v>0.38554216867469882</v>
      </c>
      <c r="F6" s="3" t="s">
        <v>24</v>
      </c>
      <c r="G6" s="3">
        <f>SUM(G11,C7,C10,C13,C19)</f>
        <v>156</v>
      </c>
      <c r="H6" s="3">
        <f>G6/G8</f>
        <v>0.46987951807228917</v>
      </c>
    </row>
    <row r="7" spans="1:8" x14ac:dyDescent="0.2">
      <c r="A7" s="3" t="s">
        <v>1</v>
      </c>
      <c r="B7" s="3">
        <v>11</v>
      </c>
      <c r="C7" s="3">
        <v>64</v>
      </c>
      <c r="D7" s="3">
        <f>C7/$C$20</f>
        <v>0.19277108433734941</v>
      </c>
      <c r="F7" s="5" t="s">
        <v>25</v>
      </c>
      <c r="G7" s="5">
        <f>SUM(G12,C8,C9,C11,C12,C14,C15,C16,C17,C18)</f>
        <v>176</v>
      </c>
      <c r="H7" s="5">
        <f>G7/G8</f>
        <v>0.53012048192771088</v>
      </c>
    </row>
    <row r="8" spans="1:8" ht="17" thickBot="1" x14ac:dyDescent="0.25">
      <c r="A8" s="5" t="s">
        <v>2</v>
      </c>
      <c r="B8" s="5">
        <v>15</v>
      </c>
      <c r="C8" s="5">
        <v>40</v>
      </c>
      <c r="D8" s="5">
        <f>C8/$C$20</f>
        <v>0.12048192771084337</v>
      </c>
      <c r="F8" s="4" t="s">
        <v>28</v>
      </c>
      <c r="G8" s="4">
        <f>SUM(G6:G7)</f>
        <v>332</v>
      </c>
      <c r="H8" s="4">
        <f>SUM(H6:H7)</f>
        <v>1</v>
      </c>
    </row>
    <row r="9" spans="1:8" ht="17" thickTop="1" x14ac:dyDescent="0.2">
      <c r="A9" s="5" t="s">
        <v>4</v>
      </c>
      <c r="B9" s="5">
        <v>29</v>
      </c>
      <c r="C9" s="5">
        <v>28</v>
      </c>
      <c r="D9" s="5">
        <f>C9/$C$20</f>
        <v>8.4337349397590355E-2</v>
      </c>
    </row>
    <row r="10" spans="1:8" x14ac:dyDescent="0.2">
      <c r="A10" s="3" t="s">
        <v>6</v>
      </c>
      <c r="B10" s="3">
        <v>39</v>
      </c>
      <c r="C10" s="3">
        <v>19</v>
      </c>
      <c r="D10" s="3">
        <f>C10/$C$20</f>
        <v>5.7228915662650599E-2</v>
      </c>
      <c r="F10" s="10" t="s">
        <v>20</v>
      </c>
      <c r="G10" s="10" t="s">
        <v>19</v>
      </c>
      <c r="H10" s="10" t="s">
        <v>32</v>
      </c>
    </row>
    <row r="11" spans="1:8" x14ac:dyDescent="0.2">
      <c r="A11" s="5" t="s">
        <v>3</v>
      </c>
      <c r="B11" s="5">
        <v>45</v>
      </c>
      <c r="C11" s="5">
        <v>16</v>
      </c>
      <c r="D11" s="5">
        <f>C11/$C$20</f>
        <v>4.8192771084337352E-2</v>
      </c>
      <c r="F11" s="3" t="s">
        <v>27</v>
      </c>
      <c r="G11" s="3">
        <v>65</v>
      </c>
      <c r="H11" s="3">
        <f>G11/G13</f>
        <v>0.5078125</v>
      </c>
    </row>
    <row r="12" spans="1:8" x14ac:dyDescent="0.2">
      <c r="A12" s="5" t="s">
        <v>7</v>
      </c>
      <c r="B12" s="5">
        <v>51</v>
      </c>
      <c r="C12" s="5">
        <v>13</v>
      </c>
      <c r="D12" s="5">
        <f>C12/$C$20</f>
        <v>3.9156626506024098E-2</v>
      </c>
      <c r="F12" s="5" t="s">
        <v>26</v>
      </c>
      <c r="G12" s="5">
        <v>63</v>
      </c>
      <c r="H12" s="5">
        <f>G12/G13</f>
        <v>0.4921875</v>
      </c>
    </row>
    <row r="13" spans="1:8" ht="17" thickBot="1" x14ac:dyDescent="0.25">
      <c r="A13" s="3" t="s">
        <v>5</v>
      </c>
      <c r="B13" s="3">
        <v>103</v>
      </c>
      <c r="C13" s="3">
        <v>7</v>
      </c>
      <c r="D13" s="3">
        <f>C13/$C$20</f>
        <v>2.1084337349397589E-2</v>
      </c>
      <c r="F13" s="4" t="s">
        <v>28</v>
      </c>
      <c r="G13" s="4">
        <f>SUM(G11:G12)</f>
        <v>128</v>
      </c>
      <c r="H13" s="4">
        <f>SUM(H11:H12)</f>
        <v>1</v>
      </c>
    </row>
    <row r="14" spans="1:8" ht="17" thickTop="1" x14ac:dyDescent="0.2">
      <c r="A14" s="5" t="s">
        <v>9</v>
      </c>
      <c r="B14" s="5">
        <v>121</v>
      </c>
      <c r="C14" s="5">
        <v>6</v>
      </c>
      <c r="D14" s="5">
        <f>C14/$C$20</f>
        <v>1.8072289156626505E-2</v>
      </c>
    </row>
    <row r="15" spans="1:8" x14ac:dyDescent="0.2">
      <c r="A15" s="5" t="s">
        <v>13</v>
      </c>
      <c r="B15" s="5">
        <v>258</v>
      </c>
      <c r="C15" s="5">
        <v>3</v>
      </c>
      <c r="D15" s="5">
        <f>C15/$C$20</f>
        <v>9.0361445783132526E-3</v>
      </c>
    </row>
    <row r="16" spans="1:8" x14ac:dyDescent="0.2">
      <c r="A16" s="5" t="s">
        <v>11</v>
      </c>
      <c r="B16" s="5">
        <v>260</v>
      </c>
      <c r="C16" s="5">
        <v>3</v>
      </c>
      <c r="D16" s="5">
        <f>C16/$C$20</f>
        <v>9.0361445783132526E-3</v>
      </c>
    </row>
    <row r="17" spans="1:5" x14ac:dyDescent="0.2">
      <c r="A17" s="5" t="s">
        <v>14</v>
      </c>
      <c r="B17" s="5">
        <v>262</v>
      </c>
      <c r="C17" s="5">
        <v>3</v>
      </c>
      <c r="D17" s="5">
        <f>C17/$C$20</f>
        <v>9.0361445783132526E-3</v>
      </c>
    </row>
    <row r="18" spans="1:5" x14ac:dyDescent="0.2">
      <c r="A18" s="5" t="s">
        <v>10</v>
      </c>
      <c r="B18" s="5">
        <v>1198</v>
      </c>
      <c r="C18" s="5">
        <v>1</v>
      </c>
      <c r="D18" s="5">
        <f>C18/$C$20</f>
        <v>3.0120481927710845E-3</v>
      </c>
    </row>
    <row r="19" spans="1:5" x14ac:dyDescent="0.2">
      <c r="A19" s="3" t="s">
        <v>12</v>
      </c>
      <c r="B19" s="3">
        <v>1339</v>
      </c>
      <c r="C19" s="3">
        <v>1</v>
      </c>
      <c r="D19" s="3">
        <f>C19/$C$20</f>
        <v>3.0120481927710845E-3</v>
      </c>
    </row>
    <row r="20" spans="1:5" ht="17" thickBot="1" x14ac:dyDescent="0.25">
      <c r="A20" s="7" t="s">
        <v>28</v>
      </c>
      <c r="B20" s="7"/>
      <c r="C20" s="4">
        <f>SUM(C6:C19)</f>
        <v>332</v>
      </c>
      <c r="D20" s="4">
        <f>SUM(D5:D19)</f>
        <v>1.0000000000000002</v>
      </c>
    </row>
    <row r="21" spans="1:5" ht="17" thickTop="1" x14ac:dyDescent="0.2">
      <c r="E21" s="1"/>
    </row>
    <row r="22" spans="1:5" x14ac:dyDescent="0.2">
      <c r="D22" s="1"/>
      <c r="E22" s="1"/>
    </row>
  </sheetData>
  <sortState ref="B6:D19">
    <sortCondition ref="B6:B19"/>
  </sortState>
  <mergeCells count="1">
    <mergeCell ref="A20:B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total</vt:lpstr>
      <vt:lpstr>average</vt:lpstr>
      <vt:lpstr>victory</vt:lpstr>
      <vt:lpstr>inaugural</vt:lpstr>
      <vt:lpstr>foreign</vt:lpstr>
      <vt:lpstr>tragedy</vt:lpstr>
      <vt:lpstr>sotu</vt:lpstr>
      <vt:lpstr>un</vt:lpstr>
      <vt:lpstr>foreign!wordlist_foreign_obama</vt:lpstr>
      <vt:lpstr>inaugural!wordlist_inaugural_obama</vt:lpstr>
      <vt:lpstr>total!wordlist_obama</vt:lpstr>
      <vt:lpstr>sotu!wordlist_sotu_obama</vt:lpstr>
      <vt:lpstr>tragedy!wordlist_tragedy_obama</vt:lpstr>
      <vt:lpstr>un!wordlist_un_obama</vt:lpstr>
    </vt:vector>
  </TitlesOfParts>
  <Company>University of Southern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 SCA</dc:creator>
  <cp:lastModifiedBy>Chong Leong</cp:lastModifiedBy>
  <dcterms:created xsi:type="dcterms:W3CDTF">2018-11-14T23:02:23Z</dcterms:created>
  <dcterms:modified xsi:type="dcterms:W3CDTF">2018-11-16T10:34:48Z</dcterms:modified>
</cp:coreProperties>
</file>