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ayta\Desktop\Class Folder\Module 1 - Crowdfunding Analysis\"/>
    </mc:Choice>
  </mc:AlternateContent>
  <xr:revisionPtr revIDLastSave="0" documentId="13_ncr:1_{469467B7-7F51-4728-B935-740E77D3AA8B}" xr6:coauthVersionLast="46" xr6:coauthVersionMax="46" xr10:uidLastSave="{00000000-0000-0000-0000-000000000000}"/>
  <bookViews>
    <workbookView xWindow="-120" yWindow="-120" windowWidth="29040" windowHeight="16440" activeTab="1" xr2:uid="{00000000-000D-0000-FFFF-FFFF00000000}"/>
  </bookViews>
  <sheets>
    <sheet name="Theater Outcomes By Launch Date" sheetId="11" r:id="rId1"/>
    <sheet name="Outcomes based on Goals" sheetId="12" r:id="rId2"/>
    <sheet name="Kickstarter" sheetId="1" r:id="rId3"/>
    <sheet name="Edinburgh Research" sheetId="6" r:id="rId4"/>
    <sheet name="Category Statistics" sheetId="2" r:id="rId5"/>
    <sheet name="Subcategory Statistics" sheetId="3" r:id="rId6"/>
    <sheet name="Outcomes Based On Launch Dates" sheetId="5" r:id="rId7"/>
  </sheets>
  <definedNames>
    <definedName name="_xlnm._FilterDatabase" localSheetId="2" hidden="1">Kickstarter!$A$1:$U$4117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2" i="12" l="1"/>
  <c r="D10" i="12"/>
  <c r="D8" i="12"/>
  <c r="D6" i="12"/>
  <c r="D4" i="12"/>
  <c r="D2" i="12"/>
  <c r="D13" i="12"/>
  <c r="D11" i="12"/>
  <c r="D9" i="12"/>
  <c r="H9" i="12" s="1"/>
  <c r="D7" i="12"/>
  <c r="D5" i="12"/>
  <c r="D3" i="12"/>
  <c r="C13" i="12"/>
  <c r="B13" i="12"/>
  <c r="C12" i="12"/>
  <c r="B12" i="12"/>
  <c r="C11" i="12"/>
  <c r="B11" i="12"/>
  <c r="C10" i="12"/>
  <c r="G10" i="12" s="1"/>
  <c r="B10" i="12"/>
  <c r="E10" i="12" s="1"/>
  <c r="C9" i="12"/>
  <c r="B9" i="12"/>
  <c r="E9" i="12" s="1"/>
  <c r="C8" i="12"/>
  <c r="B8" i="12"/>
  <c r="E8" i="12" s="1"/>
  <c r="C7" i="12"/>
  <c r="G7" i="12" s="1"/>
  <c r="B7" i="12"/>
  <c r="E7" i="12" s="1"/>
  <c r="C6" i="12"/>
  <c r="B6" i="12"/>
  <c r="C5" i="12"/>
  <c r="B5" i="12"/>
  <c r="C4" i="12"/>
  <c r="B4" i="12"/>
  <c r="C3" i="12"/>
  <c r="B3" i="12"/>
  <c r="C2" i="12"/>
  <c r="B2" i="12"/>
  <c r="D3" i="6"/>
  <c r="D4" i="6"/>
  <c r="D5" i="6"/>
  <c r="D6" i="6"/>
  <c r="C3" i="6"/>
  <c r="C4" i="6"/>
  <c r="C5" i="6"/>
  <c r="C6" i="6"/>
  <c r="B5" i="6"/>
  <c r="B3" i="6"/>
  <c r="B4" i="6"/>
  <c r="D2" i="6"/>
  <c r="C2" i="6"/>
  <c r="B6" i="6"/>
  <c r="B2" i="6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4116" i="1"/>
  <c r="U4116" i="1" s="1"/>
  <c r="S4117" i="1"/>
  <c r="U4117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2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124" i="1"/>
  <c r="G8" i="12" l="1"/>
  <c r="F4" i="12"/>
  <c r="F5" i="12"/>
  <c r="F13" i="12"/>
  <c r="G9" i="12"/>
  <c r="F2" i="12"/>
  <c r="H8" i="12"/>
  <c r="F11" i="12"/>
  <c r="H7" i="12"/>
  <c r="H10" i="12"/>
  <c r="E2" i="12"/>
  <c r="H2" i="12" s="1"/>
  <c r="E6" i="12"/>
  <c r="H6" i="12" s="1"/>
  <c r="F10" i="12"/>
  <c r="E13" i="12"/>
  <c r="G13" i="12" s="1"/>
  <c r="E5" i="12"/>
  <c r="G5" i="12" s="1"/>
  <c r="F9" i="12"/>
  <c r="E12" i="12"/>
  <c r="F12" i="12" s="1"/>
  <c r="E4" i="12"/>
  <c r="G4" i="12" s="1"/>
  <c r="F8" i="12"/>
  <c r="E11" i="12"/>
  <c r="H11" i="12" s="1"/>
  <c r="E3" i="12"/>
  <c r="H3" i="12" s="1"/>
  <c r="F7" i="12"/>
  <c r="H12" i="12" l="1"/>
  <c r="H5" i="12"/>
  <c r="H4" i="12"/>
  <c r="H13" i="12"/>
  <c r="F3" i="12"/>
  <c r="G11" i="12"/>
  <c r="G6" i="12"/>
  <c r="G12" i="12"/>
  <c r="G2" i="12"/>
  <c r="F6" i="12"/>
  <c r="G3" i="12"/>
</calcChain>
</file>

<file path=xl/sharedStrings.xml><?xml version="1.0" encoding="utf-8"?>
<sst xmlns="http://schemas.openxmlformats.org/spreadsheetml/2006/main" count="33034" uniqueCount="8403">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</sst>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505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[Kickstarter_Challenge-1.xlsx]Theater Outcomes By Launch Date!PivotTable1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1B-4325-944C-5931B33014F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1B-4325-944C-5931B33014F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1B-4325-944C-5931B33014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1118256"/>
        <c:axId val="1481119504"/>
      </c:lineChart>
      <c:catAx>
        <c:axId val="1481118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1119504"/>
        <c:crosses val="autoZero"/>
        <c:auto val="1"/>
        <c:lblAlgn val="ctr"/>
        <c:lblOffset val="100"/>
        <c:noMultiLvlLbl val="0"/>
      </c:catAx>
      <c:valAx>
        <c:axId val="148111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1118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17-4CF1-91EF-9CF0E87E4A8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17-4CF1-91EF-9CF0E87E4A8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17-4CF1-91EF-9CF0E87E4A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0320016"/>
        <c:axId val="1250321264"/>
      </c:lineChart>
      <c:catAx>
        <c:axId val="1250320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0321264"/>
        <c:crosses val="autoZero"/>
        <c:auto val="1"/>
        <c:lblAlgn val="ctr"/>
        <c:lblOffset val="100"/>
        <c:noMultiLvlLbl val="0"/>
      </c:catAx>
      <c:valAx>
        <c:axId val="125032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0320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[Kickstarter_Challenge-1.xlsx]Category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 Category Outcomes</a:t>
            </a:r>
          </a:p>
        </c:rich>
      </c:tx>
      <c:layout>
        <c:manualLayout>
          <c:xMode val="edge"/>
          <c:yMode val="edge"/>
          <c:x val="0.28581933508311463"/>
          <c:y val="8.592155147273257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B7-4707-94BF-5D801E5FD92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B7-4707-94BF-5D801E5FD92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B7-4707-94BF-5D801E5FD92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B7-4707-94BF-5D801E5FD9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99527871"/>
        <c:axId val="2099528287"/>
      </c:barChart>
      <c:catAx>
        <c:axId val="2099527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528287"/>
        <c:crosses val="autoZero"/>
        <c:auto val="1"/>
        <c:lblAlgn val="ctr"/>
        <c:lblOffset val="100"/>
        <c:noMultiLvlLbl val="0"/>
      </c:catAx>
      <c:valAx>
        <c:axId val="2099528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527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[Kickstarter_Challenge-1.xlsx]Subcategory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04-4B97-8AFC-CBE6D70EC4F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04-4B97-8AFC-CBE6D70EC4F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04-4B97-8AFC-CBE6D70EC4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19913951"/>
        <c:axId val="319918111"/>
      </c:barChart>
      <c:catAx>
        <c:axId val="319913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918111"/>
        <c:crosses val="autoZero"/>
        <c:auto val="1"/>
        <c:lblAlgn val="ctr"/>
        <c:lblOffset val="100"/>
        <c:noMultiLvlLbl val="0"/>
      </c:catAx>
      <c:valAx>
        <c:axId val="319918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913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[Kickstarter_Challenge-1.xlsx]Outcomes Based On Launch Dates!PivotTable5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F5-45E2-8390-C0D44FC48460}"/>
            </c:ext>
          </c:extLst>
        </c:ser>
        <c:ser>
          <c:idx val="1"/>
          <c:order val="1"/>
          <c:tx>
            <c:strRef>
              <c:f>'Outcomes Based On Launch 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F5-45E2-8390-C0D44FC48460}"/>
            </c:ext>
          </c:extLst>
        </c:ser>
        <c:ser>
          <c:idx val="2"/>
          <c:order val="2"/>
          <c:tx>
            <c:strRef>
              <c:f>'Outcomes Based On Launch Dates'!$D$4:$D$5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F5-45E2-8390-C0D44FC48460}"/>
            </c:ext>
          </c:extLst>
        </c:ser>
        <c:ser>
          <c:idx val="3"/>
          <c:order val="3"/>
          <c:tx>
            <c:strRef>
              <c:f>'Outcomes Based On Launch Dates'!$E$4:$E$5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F5-45E2-8390-C0D44FC484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1309615"/>
        <c:axId val="321310031"/>
      </c:lineChart>
      <c:catAx>
        <c:axId val="321309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310031"/>
        <c:crosses val="autoZero"/>
        <c:auto val="1"/>
        <c:lblAlgn val="ctr"/>
        <c:lblOffset val="100"/>
        <c:noMultiLvlLbl val="0"/>
      </c:catAx>
      <c:valAx>
        <c:axId val="321310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309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476250</xdr:colOff>
      <xdr:row>3</xdr:row>
      <xdr:rowOff>0</xdr:rowOff>
    </xdr:from>
    <xdr:to>
      <xdr:col>14</xdr:col>
      <xdr:colOff>0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754F2C-6410-43B7-B78E-7ADFEB854E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16</xdr:row>
      <xdr:rowOff>1</xdr:rowOff>
    </xdr:from>
    <xdr:to>
      <xdr:col>5</xdr:col>
      <xdr:colOff>0</xdr:colOff>
      <xdr:row>32</xdr:row>
      <xdr:rowOff>9524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741C610-A4F1-4CDF-B218-56FEED8D50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14287</xdr:rowOff>
    </xdr:from>
    <xdr:to>
      <xdr:col>6</xdr:col>
      <xdr:colOff>171450</xdr:colOff>
      <xdr:row>29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B65AC7-BB33-4D9E-8AB5-EBDE6A7138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9524</xdr:colOff>
      <xdr:row>4</xdr:row>
      <xdr:rowOff>14286</xdr:rowOff>
    </xdr:from>
    <xdr:to>
      <xdr:col>17</xdr:col>
      <xdr:colOff>219075</xdr:colOff>
      <xdr:row>19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CB8A2D-90F6-4FE3-9D86-F2A75E2A69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3</xdr:row>
      <xdr:rowOff>9525</xdr:rowOff>
    </xdr:from>
    <xdr:to>
      <xdr:col>15</xdr:col>
      <xdr:colOff>304800</xdr:colOff>
      <xdr:row>17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C9B609-E296-40BD-B8BC-702DF65B48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ter Richards" refreshedDate="44316.770721064815" createdVersion="7" refreshedVersion="7" minRefreshableVersion="3" recordCount="4115" xr:uid="{0F2DA75C-4AC9-45AF-9313-0E631629FD26}">
  <cacheSource type="worksheet">
    <worksheetSource ref="A1:R411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ter Richards" refreshedDate="44316.792147106484" createdVersion="7" refreshedVersion="7" minRefreshableVersion="3" recordCount="4116" xr:uid="{B3A0663C-066A-4F3B-97CA-4E8143E4E998}">
  <cacheSource type="worksheet">
    <worksheetSource ref="A1:T4117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970-01-0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970-01-01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970-01-01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ter Richards" refreshedDate="44318.565875925924" createdVersion="7" refreshedVersion="7" minRefreshableVersion="3" recordCount="4116" xr:uid="{C7279641-5B83-48F5-96DC-151B36F0D739}">
  <cacheSource type="worksheet">
    <worksheetSource ref="A1:U4117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2" base="18">
        <rangePr groupBy="months" startDate="1970-01-01T00:00:00" endDate="2017-03-15T15:30:07"/>
        <groupItems count="14">
          <s v="&lt;1970-01-0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Years" numFmtId="0">
      <sharedItems containsSemiMixedTypes="0" containsString="0" containsNumber="1" containsInteger="1" minValue="1970" maxValue="2017" count="10">
        <n v="2015"/>
        <n v="2017"/>
        <n v="2016"/>
        <n v="2014"/>
        <n v="2013"/>
        <n v="2012"/>
        <n v="2011"/>
        <n v="2010"/>
        <n v="2009"/>
        <n v="1970"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970-01-01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970-01-01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m/>
    <x v="9"/>
    <m/>
    <x v="4114"/>
    <d v="1970-01-01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n v="0"/>
    <x v="9"/>
    <m/>
    <x v="4114"/>
    <d v="1970-01-01T00:00:00"/>
    <x v="9"/>
  </r>
  <r>
    <m/>
    <m/>
    <m/>
    <m/>
    <m/>
    <x v="4"/>
    <m/>
    <m/>
    <m/>
    <m/>
    <m/>
    <m/>
    <m/>
    <m/>
    <m/>
    <m/>
    <x v="9"/>
    <m/>
    <x v="4114"/>
    <d v="1970-01-01T00:00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221833-1A35-466F-8D46-2C93F68F19C5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9"/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6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3C28EA-FCF7-43B2-9E78-6F9298B1BBAC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20F36F-0601-4128-8607-55A1B72EEFE1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C0FC86-F532-413A-8DEF-2C811B05D887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AB3BF5-250E-4B7D-9070-BF6F7C67810A}">
  <dimension ref="A1:E18"/>
  <sheetViews>
    <sheetView workbookViewId="0">
      <selection activeCell="J21" sqref="J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7.28515625" bestFit="1" customWidth="1"/>
    <col min="7" max="7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8379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5" t="s">
        <v>8367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5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5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5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5" t="s">
        <v>8368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5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5" t="s">
        <v>8369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5" t="s">
        <v>8370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5" t="s">
        <v>8371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5" t="s">
        <v>8372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5" t="s">
        <v>8373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8BC3C-F79E-4F55-A6BC-B0E12061A019}">
  <dimension ref="A1:H13"/>
  <sheetViews>
    <sheetView tabSelected="1" workbookViewId="0">
      <selection activeCell="A20" sqref="A20"/>
    </sheetView>
  </sheetViews>
  <sheetFormatPr defaultRowHeight="15" x14ac:dyDescent="0.25"/>
  <cols>
    <col min="1" max="3" width="27.42578125" customWidth="1"/>
    <col min="4" max="4" width="27.5703125" customWidth="1"/>
    <col min="5" max="6" width="27.42578125" customWidth="1"/>
    <col min="7" max="7" width="27.28515625" customWidth="1"/>
    <col min="8" max="8" width="27.42578125" customWidth="1"/>
  </cols>
  <sheetData>
    <row r="1" spans="1:8" s="1" customFormat="1" x14ac:dyDescent="0.25">
      <c r="A1" s="1" t="s">
        <v>8382</v>
      </c>
      <c r="B1" s="1" t="s">
        <v>8384</v>
      </c>
      <c r="C1" s="1" t="s">
        <v>8385</v>
      </c>
      <c r="D1" s="1" t="s">
        <v>8386</v>
      </c>
      <c r="E1" s="1" t="s">
        <v>8387</v>
      </c>
      <c r="F1" s="1" t="s">
        <v>8388</v>
      </c>
      <c r="G1" s="1" t="s">
        <v>8389</v>
      </c>
      <c r="H1" s="1" t="s">
        <v>8390</v>
      </c>
    </row>
    <row r="2" spans="1:8" x14ac:dyDescent="0.25">
      <c r="A2" t="s">
        <v>8391</v>
      </c>
      <c r="B2">
        <f>COUNTIFS(Kickstarter!F:F, "successful", Kickstarter!D:D,  "&lt;1000", Kickstarter!R:R, "plays")</f>
        <v>141</v>
      </c>
      <c r="C2">
        <f>COUNTIFS(Kickstarter!F:F, "failed", Kickstarter!D:D,  "&lt;1000", Kickstarter!R:R, "plays")</f>
        <v>45</v>
      </c>
      <c r="D2">
        <f>COUNTIFS(Kickstarter!F:F, "cancelled", Kickstarter!D:D,  "&lt;1000", Kickstarter!R:R, "plays")</f>
        <v>0</v>
      </c>
      <c r="E2">
        <f>SUM(B2, C2, D2)</f>
        <v>186</v>
      </c>
      <c r="F2">
        <f>(B2/E2)*100</f>
        <v>75.806451612903231</v>
      </c>
      <c r="G2">
        <f>(C2/E2)*100</f>
        <v>24.193548387096776</v>
      </c>
      <c r="H2">
        <f>(D2/E2)*100</f>
        <v>0</v>
      </c>
    </row>
    <row r="3" spans="1:8" x14ac:dyDescent="0.25">
      <c r="A3" t="s">
        <v>8392</v>
      </c>
      <c r="B3">
        <f>COUNTIFS(Kickstarter!F:F, "successful", Kickstarter!D:D,  "&gt;=1000", Kickstarter!D:D,  "&lt;=4999", Kickstarter!R:R, "plays")</f>
        <v>388</v>
      </c>
      <c r="C3">
        <f>COUNTIFS(Kickstarter!F:F, "failed", Kickstarter!D:D,  "&gt;=1000", Kickstarter!D:D,  "&lt;=4999", Kickstarter!R:R, "plays")</f>
        <v>146</v>
      </c>
      <c r="D3">
        <f>COUNTIFS(Kickstarter!F:F, "cancelled", Kickstarter!D:D,  "&gt;=1000", Kickstarter!D:D,  "&lt;=4999", Kickstarter!R:R, "plays")</f>
        <v>0</v>
      </c>
      <c r="E3">
        <f t="shared" ref="E3:E13" si="0">SUM(B3, C3, D3)</f>
        <v>534</v>
      </c>
      <c r="F3">
        <f t="shared" ref="F3:F13" si="1">(B3/E3)*100</f>
        <v>72.659176029962552</v>
      </c>
      <c r="G3">
        <f t="shared" ref="G3:G13" si="2">(C3/E3)*100</f>
        <v>27.340823970037455</v>
      </c>
      <c r="H3">
        <f t="shared" ref="H3:H13" si="3">(D3/E3)*100</f>
        <v>0</v>
      </c>
    </row>
    <row r="4" spans="1:8" x14ac:dyDescent="0.25">
      <c r="A4" t="s">
        <v>8393</v>
      </c>
      <c r="B4">
        <f>COUNTIFS(Kickstarter!F:F, "successful", Kickstarter!D:D,  "&gt;=5000", Kickstarter!D:D,  "&lt;=9999", Kickstarter!R:R, "plays")</f>
        <v>93</v>
      </c>
      <c r="C4">
        <f>COUNTIFS(Kickstarter!F:F, "failed", Kickstarter!D:D,  "&gt;=5000", Kickstarter!D:D,  "&lt;=9999", Kickstarter!R:R, "plays")</f>
        <v>76</v>
      </c>
      <c r="D4">
        <f>COUNTIFS(Kickstarter!F:F, "cancelled", Kickstarter!D:D,  "&gt;=5000", Kickstarter!D:D,  "&lt;=9999", Kickstarter!R:R, "plays")</f>
        <v>0</v>
      </c>
      <c r="E4">
        <f t="shared" si="0"/>
        <v>169</v>
      </c>
      <c r="F4">
        <f t="shared" si="1"/>
        <v>55.029585798816569</v>
      </c>
      <c r="G4">
        <f t="shared" si="2"/>
        <v>44.970414201183431</v>
      </c>
      <c r="H4">
        <f t="shared" si="3"/>
        <v>0</v>
      </c>
    </row>
    <row r="5" spans="1:8" x14ac:dyDescent="0.25">
      <c r="A5" t="s">
        <v>8394</v>
      </c>
      <c r="B5">
        <f>COUNTIFS(Kickstarter!F:F, "successful", Kickstarter!D:D,  "&gt;=10000", Kickstarter!D:D,  "&lt;=14999", Kickstarter!R:R, "plays")</f>
        <v>39</v>
      </c>
      <c r="C5">
        <f>COUNTIFS(Kickstarter!F:F, "failed", Kickstarter!D:D,  "&gt;=10000", Kickstarter!D:D,  "&lt;=14999", Kickstarter!R:R, "plays")</f>
        <v>33</v>
      </c>
      <c r="D5">
        <f>COUNTIFS(Kickstarter!F:F, "cancelled", Kickstarter!D:D,  "&gt;=10000", Kickstarter!D:D,  "&lt;=14999", Kickstarter!R:R, "plays")</f>
        <v>0</v>
      </c>
      <c r="E5">
        <f t="shared" si="0"/>
        <v>72</v>
      </c>
      <c r="F5">
        <f t="shared" si="1"/>
        <v>54.166666666666664</v>
      </c>
      <c r="G5">
        <f t="shared" si="2"/>
        <v>45.833333333333329</v>
      </c>
      <c r="H5">
        <f t="shared" si="3"/>
        <v>0</v>
      </c>
    </row>
    <row r="6" spans="1:8" x14ac:dyDescent="0.25">
      <c r="A6" t="s">
        <v>8395</v>
      </c>
      <c r="B6">
        <f>COUNTIFS(Kickstarter!F:F, "successful", Kickstarter!D:D,  "&gt;=15000", Kickstarter!D:D,  "&lt;=19999", Kickstarter!R:R, "plays")</f>
        <v>12</v>
      </c>
      <c r="C6">
        <f>COUNTIFS(Kickstarter!F:F, "failed", Kickstarter!D:D,  "&gt;=15000", Kickstarter!D:D,  "&lt;=19999", Kickstarter!R:R, "plays")</f>
        <v>12</v>
      </c>
      <c r="D6">
        <f>COUNTIFS(Kickstarter!F:F, "cancelled", Kickstarter!D:D,  "&gt;=15000", Kickstarter!D:D,  "&lt;=19999", Kickstarter!R:R, "plays")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25">
      <c r="A7" t="s">
        <v>8396</v>
      </c>
      <c r="B7">
        <f>COUNTIFS(Kickstarter!F:F, "successful", Kickstarter!D:D,  "&gt;=20000", Kickstarter!D:D,  "&lt;=24999", Kickstarter!R:R, "plays")</f>
        <v>9</v>
      </c>
      <c r="C7">
        <f>COUNTIFS(Kickstarter!F:F, "failed", Kickstarter!D:D,  "&gt;=20000", Kickstarter!D:D,  "&lt;=24999", Kickstarter!R:R, "plays")</f>
        <v>11</v>
      </c>
      <c r="D7">
        <f>COUNTIFS(Kickstarter!F:F, "cancelled", Kickstarter!D:D,  "&gt;=20000", Kickstarter!D:D,  "&lt;=24999", Kickstarter!R:R, "plays")</f>
        <v>0</v>
      </c>
      <c r="E7">
        <f t="shared" si="0"/>
        <v>20</v>
      </c>
      <c r="F7">
        <f t="shared" si="1"/>
        <v>45</v>
      </c>
      <c r="G7">
        <f t="shared" si="2"/>
        <v>55.000000000000007</v>
      </c>
      <c r="H7">
        <f t="shared" si="3"/>
        <v>0</v>
      </c>
    </row>
    <row r="8" spans="1:8" x14ac:dyDescent="0.25">
      <c r="A8" t="s">
        <v>8397</v>
      </c>
      <c r="B8">
        <f>COUNTIFS(Kickstarter!F:F, "successful", Kickstarter!D:D,  "&gt;=25000", Kickstarter!D:D,  "&lt;=29999", Kickstarter!R:R, "plays")</f>
        <v>1</v>
      </c>
      <c r="C8">
        <f>COUNTIFS(Kickstarter!F:F, "failed", Kickstarter!D:D,  "&gt;=25000", Kickstarter!D:D,  "&lt;=29999", Kickstarter!R:R, "plays")</f>
        <v>4</v>
      </c>
      <c r="D8">
        <f>COUNTIFS(Kickstarter!F:F, "cancelled", Kickstarter!D:D,  "&gt;=25000", Kickstarter!D:D,  "&lt;=29999", Kickstarter!R:R, "plays")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25">
      <c r="A9" t="s">
        <v>8398</v>
      </c>
      <c r="B9">
        <f>COUNTIFS(Kickstarter!F:F, "successful", Kickstarter!D:D,  "&gt;=30000", Kickstarter!D:D,  "&lt;=34999", Kickstarter!R:R, "plays")</f>
        <v>3</v>
      </c>
      <c r="C9">
        <f>COUNTIFS(Kickstarter!F:F, "failed", Kickstarter!D:D,  "&gt;=30000", Kickstarter!D:D,  "&lt;=34999", Kickstarter!R:R, "plays")</f>
        <v>8</v>
      </c>
      <c r="D9">
        <f>COUNTIFS(Kickstarter!F:F, "cancelled", Kickstarter!D:D,  "&gt;=30000", Kickstarter!D:D,  "&lt;=34999", Kickstarter!R:R, "plays")</f>
        <v>0</v>
      </c>
      <c r="E9">
        <f t="shared" si="0"/>
        <v>11</v>
      </c>
      <c r="F9">
        <f t="shared" si="1"/>
        <v>27.27272727272727</v>
      </c>
      <c r="G9">
        <f t="shared" si="2"/>
        <v>72.727272727272734</v>
      </c>
      <c r="H9">
        <f t="shared" si="3"/>
        <v>0</v>
      </c>
    </row>
    <row r="10" spans="1:8" x14ac:dyDescent="0.25">
      <c r="A10" t="s">
        <v>8399</v>
      </c>
      <c r="B10">
        <f>COUNTIFS(Kickstarter!F:F, "successful", Kickstarter!D:D,  "&gt;=35000", Kickstarter!D:D,  "&lt;=39999", Kickstarter!R:R, "plays")</f>
        <v>4</v>
      </c>
      <c r="C10">
        <f>COUNTIFS(Kickstarter!F:F, "failed", Kickstarter!D:D,  "&gt;=35000", Kickstarter!D:D,  "&lt;=39999", Kickstarter!R:R, "plays")</f>
        <v>2</v>
      </c>
      <c r="D10">
        <f>COUNTIFS(Kickstarter!F:F, "cancelled", Kickstarter!D:D,  "&gt;=35000", Kickstarter!D:D,  "&lt;=39999", Kickstarter!R:R, "plays")</f>
        <v>0</v>
      </c>
      <c r="E10">
        <f t="shared" si="0"/>
        <v>6</v>
      </c>
      <c r="F10">
        <f t="shared" si="1"/>
        <v>66.666666666666657</v>
      </c>
      <c r="G10">
        <f t="shared" si="2"/>
        <v>33.333333333333329</v>
      </c>
      <c r="H10">
        <f t="shared" si="3"/>
        <v>0</v>
      </c>
    </row>
    <row r="11" spans="1:8" x14ac:dyDescent="0.25">
      <c r="A11" t="s">
        <v>8400</v>
      </c>
      <c r="B11">
        <f>COUNTIFS(Kickstarter!F:F, "successful", Kickstarter!D:D,  "&gt;=40000", Kickstarter!D:D,  "&lt;=44999", Kickstarter!R:R, "plays")</f>
        <v>2</v>
      </c>
      <c r="C11">
        <f>COUNTIFS(Kickstarter!F:F, "failed", Kickstarter!D:D,  "&gt;=40000", Kickstarter!D:D,  "&lt;=44999", Kickstarter!R:R, "plays")</f>
        <v>1</v>
      </c>
      <c r="D11">
        <f>COUNTIFS(Kickstarter!F:F, "cancelled", Kickstarter!D:D,  "&gt;=40000", Kickstarter!D:D,  "&lt;=44999", Kickstarter!R:R, "plays")</f>
        <v>0</v>
      </c>
      <c r="E11">
        <f t="shared" si="0"/>
        <v>3</v>
      </c>
      <c r="F11">
        <f t="shared" si="1"/>
        <v>66.666666666666657</v>
      </c>
      <c r="G11">
        <f t="shared" si="2"/>
        <v>33.333333333333329</v>
      </c>
      <c r="H11">
        <f t="shared" si="3"/>
        <v>0</v>
      </c>
    </row>
    <row r="12" spans="1:8" x14ac:dyDescent="0.25">
      <c r="A12" t="s">
        <v>8401</v>
      </c>
      <c r="B12">
        <f>COUNTIFS(Kickstarter!F:F, "successful", Kickstarter!D:D,  "&gt;=45000", Kickstarter!D:D,  "&lt;=49999", Kickstarter!R:R, "plays")</f>
        <v>0</v>
      </c>
      <c r="C12">
        <f>COUNTIFS(Kickstarter!F:F, "failed", Kickstarter!D:D,  "&gt;=45000", Kickstarter!D:D,  "&lt;=49999", Kickstarter!R:R, "plays")</f>
        <v>1</v>
      </c>
      <c r="D12">
        <f>COUNTIFS(Kickstarter!F:F, "cancelled", Kickstarter!D:D,  "&gt;=45000", Kickstarter!D:D,  "&lt;=49999", Kickstarter!R:R, "plays")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x14ac:dyDescent="0.25">
      <c r="A13" t="s">
        <v>8402</v>
      </c>
      <c r="B13">
        <f>COUNTIFS(Kickstarter!F:F, "successful", Kickstarter!D:D,  "&gt;=50000",  Kickstarter!R:R, "plays")</f>
        <v>2</v>
      </c>
      <c r="C13">
        <f>COUNTIFS(Kickstarter!F:F, "failed", Kickstarter!D:D,  "&gt;=50000",  Kickstarter!R:R, "plays")</f>
        <v>14</v>
      </c>
      <c r="D13">
        <f>COUNTIFS(Kickstarter!F:F, "cancelled", Kickstarter!D:D,  "&gt;=50000",  Kickstarter!R:R, "plays")</f>
        <v>0</v>
      </c>
      <c r="E13">
        <f t="shared" si="0"/>
        <v>16</v>
      </c>
      <c r="F13">
        <f t="shared" si="1"/>
        <v>12.5</v>
      </c>
      <c r="G13">
        <f t="shared" si="2"/>
        <v>87.5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7"/>
  <sheetViews>
    <sheetView topLeftCell="I2822" zoomScale="95" zoomScaleNormal="95" workbookViewId="0">
      <selection activeCell="F2" sqref="F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28515625" customWidth="1"/>
    <col min="16" max="16" width="18.140625" customWidth="1"/>
    <col min="17" max="17" width="19.85546875" customWidth="1"/>
    <col min="18" max="18" width="16.140625" customWidth="1"/>
    <col min="19" max="19" width="23.140625" customWidth="1"/>
    <col min="20" max="20" width="22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0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0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0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0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0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0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0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0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0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0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0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0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0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0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0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0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0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6" si="321">IFERROR(ROUND(E4099/L4099,2),0)</f>
        <v>0</v>
      </c>
      <c r="Q4099" s="10" t="s">
        <v>8315</v>
      </c>
      <c r="R4099" t="s">
        <v>8316</v>
      </c>
      <c r="S4099" s="14">
        <f t="shared" ref="S4099:S4117" si="322">(((J4099/60)/60)/24)+DATE(1970,1,1)</f>
        <v>42344.824502314819</v>
      </c>
      <c r="T4099" s="14">
        <f t="shared" ref="T4099:T4117" si="323">(((I4099/60)/60)/24)+DATE(1970,1,1)</f>
        <v>42400.996527777781</v>
      </c>
      <c r="U4099">
        <f t="shared" ref="U4099:U4117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  <row r="4116" spans="1:21" hidden="1" x14ac:dyDescent="0.25">
      <c r="P4116">
        <f t="shared" si="321"/>
        <v>0</v>
      </c>
      <c r="S4116" s="14">
        <f t="shared" si="322"/>
        <v>25569</v>
      </c>
      <c r="T4116" s="14">
        <f t="shared" si="323"/>
        <v>25569</v>
      </c>
      <c r="U4116">
        <f t="shared" si="324"/>
        <v>1970</v>
      </c>
    </row>
    <row r="4117" spans="1:21" hidden="1" x14ac:dyDescent="0.25">
      <c r="S4117" s="14">
        <f t="shared" si="322"/>
        <v>25569</v>
      </c>
      <c r="T4117" s="14">
        <f t="shared" si="323"/>
        <v>25569</v>
      </c>
      <c r="U4117">
        <f t="shared" si="324"/>
        <v>1970</v>
      </c>
    </row>
  </sheetData>
  <autoFilter ref="A1:U4117" xr:uid="{AACCF3B6-1CD0-49C1-B560-9BB32C5BE027}">
    <filterColumn colId="17">
      <filters>
        <filter val="plays"/>
      </filters>
    </filterColumn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505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3A8B5-FB20-495F-A33A-5D3119ECA5C7}">
  <dimension ref="A1:D6"/>
  <sheetViews>
    <sheetView workbookViewId="0">
      <selection activeCell="A7" sqref="A7"/>
    </sheetView>
  </sheetViews>
  <sheetFormatPr defaultRowHeight="15" x14ac:dyDescent="0.25"/>
  <cols>
    <col min="1" max="1" width="33.85546875" customWidth="1"/>
    <col min="2" max="2" width="36.42578125" customWidth="1"/>
  </cols>
  <sheetData>
    <row r="1" spans="1:4" s="1" customFormat="1" x14ac:dyDescent="0.25">
      <c r="A1" s="1" t="s">
        <v>8380</v>
      </c>
      <c r="B1" s="1" t="s">
        <v>8381</v>
      </c>
      <c r="C1" s="1" t="s">
        <v>8382</v>
      </c>
      <c r="D1" s="1" t="s">
        <v>8383</v>
      </c>
    </row>
    <row r="2" spans="1:4" ht="60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ht="60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ht="60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ht="60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ht="60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479D7-103D-4B6B-B8EA-5987B1954D62}">
  <dimension ref="A1:F6"/>
  <sheetViews>
    <sheetView workbookViewId="0">
      <selection activeCell="B36" sqref="B3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7F3C9-FE17-4138-9F13-9F595DF7F1D6}">
  <dimension ref="A1:E7"/>
  <sheetViews>
    <sheetView topLeftCell="J4" workbookViewId="0">
      <selection activeCell="K24" sqref="K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7E3C53-F3C0-42A3-8EF5-0DF9CE093F05}">
  <dimension ref="A1:F18"/>
  <sheetViews>
    <sheetView workbookViewId="0">
      <selection activeCell="D4" sqref="D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8367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5" t="s">
        <v>8368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5" t="s">
        <v>8369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5" t="s">
        <v>8370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5" t="s">
        <v>8371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5" t="s">
        <v>8372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5" t="s">
        <v>8373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Theater Outcomes By Launch Date</vt:lpstr>
      <vt:lpstr>Outcomes based on Goals</vt:lpstr>
      <vt:lpstr>Kickstarter</vt:lpstr>
      <vt:lpstr>Edinburgh Research</vt:lpstr>
      <vt:lpstr>Category Statistics</vt:lpstr>
      <vt:lpstr>Subcategory Statistics</vt:lpstr>
      <vt:lpstr>Outcomes Based On Launch Dates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Carter Richards</cp:lastModifiedBy>
  <dcterms:created xsi:type="dcterms:W3CDTF">2017-04-20T15:17:24Z</dcterms:created>
  <dcterms:modified xsi:type="dcterms:W3CDTF">2021-05-02T23:10:26Z</dcterms:modified>
</cp:coreProperties>
</file>