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pi\JURAGAN AIR\"/>
    </mc:Choice>
  </mc:AlternateContent>
  <xr:revisionPtr revIDLastSave="0" documentId="13_ncr:1_{A68E4D60-1DDD-4ED2-8AC1-1552F1EE880A}" xr6:coauthVersionLast="47" xr6:coauthVersionMax="47" xr10:uidLastSave="{00000000-0000-0000-0000-000000000000}"/>
  <bookViews>
    <workbookView xWindow="-108" yWindow="-108" windowWidth="23256" windowHeight="12456" activeTab="2" xr2:uid="{A2ECE7DC-BF94-4B1E-91DF-A9CDE4DE70AA}"/>
  </bookViews>
  <sheets>
    <sheet name="Sheet1" sheetId="1" r:id="rId1"/>
    <sheet name="rekap juli" sheetId="2" r:id="rId2"/>
    <sheet name="rekap agustus (dody)" sheetId="4" r:id="rId3"/>
    <sheet name="rekap agustus (cv.vacelindo)" sheetId="5" r:id="rId4"/>
    <sheet name="Sheet2" sheetId="3" r:id="rId5"/>
  </sheets>
  <definedNames>
    <definedName name="_xlnm.Print_Area" localSheetId="3">'rekap agustus (cv.vacelindo)'!$A$1:$G$40</definedName>
    <definedName name="_xlnm.Print_Area" localSheetId="2">'rekap agustus (dody)'!$A$1:$R$40</definedName>
    <definedName name="_xlnm.Print_Area" localSheetId="1">'rekap juli'!$A$1:$J$40</definedName>
    <definedName name="_xlnm.Print_Area" localSheetId="0">Sheet1!$A$1:$I$23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1" i="4" l="1"/>
  <c r="R30" i="4"/>
  <c r="R29" i="4"/>
  <c r="R28" i="4"/>
  <c r="R27" i="4"/>
  <c r="R26" i="4"/>
  <c r="R25" i="4"/>
  <c r="R24" i="4"/>
  <c r="R23" i="4"/>
  <c r="M28" i="4"/>
  <c r="M27" i="4"/>
  <c r="Q39" i="4"/>
  <c r="R38" i="4"/>
  <c r="R37" i="4"/>
  <c r="R36" i="4"/>
  <c r="R35" i="4"/>
  <c r="R34" i="4"/>
  <c r="R33" i="4"/>
  <c r="R32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F30" i="5"/>
  <c r="G30" i="5" s="1"/>
  <c r="F31" i="5"/>
  <c r="G31" i="5" s="1"/>
  <c r="G38" i="5"/>
  <c r="G37" i="5"/>
  <c r="G36" i="5"/>
  <c r="G35" i="5"/>
  <c r="G34" i="5"/>
  <c r="G33" i="5"/>
  <c r="G32" i="5"/>
  <c r="G29" i="5"/>
  <c r="G28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G8" i="5"/>
  <c r="H26" i="4"/>
  <c r="G26" i="4"/>
  <c r="F26" i="4"/>
  <c r="L27" i="4"/>
  <c r="F27" i="4"/>
  <c r="J27" i="4" s="1"/>
  <c r="K27" i="4" s="1"/>
  <c r="H27" i="4"/>
  <c r="L28" i="4"/>
  <c r="J38" i="4"/>
  <c r="J37" i="4"/>
  <c r="J36" i="4"/>
  <c r="K36" i="4" s="1"/>
  <c r="N36" i="4" s="1"/>
  <c r="J35" i="4"/>
  <c r="K35" i="4" s="1"/>
  <c r="N35" i="4" s="1"/>
  <c r="J34" i="4"/>
  <c r="J33" i="4"/>
  <c r="K33" i="4" s="1"/>
  <c r="N33" i="4" s="1"/>
  <c r="J32" i="4"/>
  <c r="J31" i="4"/>
  <c r="J30" i="4"/>
  <c r="J29" i="4"/>
  <c r="J28" i="4"/>
  <c r="J25" i="4"/>
  <c r="J24" i="4"/>
  <c r="J23" i="4"/>
  <c r="J22" i="4"/>
  <c r="J21" i="4"/>
  <c r="K21" i="4" s="1"/>
  <c r="N21" i="4" s="1"/>
  <c r="J20" i="4"/>
  <c r="J19" i="4"/>
  <c r="J18" i="4"/>
  <c r="J17" i="4"/>
  <c r="J16" i="4"/>
  <c r="K16" i="4" s="1"/>
  <c r="N16" i="4" s="1"/>
  <c r="J15" i="4"/>
  <c r="K15" i="4" s="1"/>
  <c r="N15" i="4" s="1"/>
  <c r="J14" i="4"/>
  <c r="J13" i="4"/>
  <c r="J12" i="4"/>
  <c r="J11" i="4"/>
  <c r="J10" i="4"/>
  <c r="J9" i="4"/>
  <c r="J8" i="4"/>
  <c r="N37" i="4"/>
  <c r="N31" i="4"/>
  <c r="N30" i="4"/>
  <c r="N19" i="4"/>
  <c r="M38" i="4"/>
  <c r="M37" i="4"/>
  <c r="M36" i="4"/>
  <c r="M35" i="4"/>
  <c r="M34" i="4"/>
  <c r="M33" i="4"/>
  <c r="M32" i="4"/>
  <c r="M31" i="4"/>
  <c r="M30" i="4"/>
  <c r="M29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F28" i="4"/>
  <c r="H29" i="4"/>
  <c r="G29" i="4"/>
  <c r="F29" i="4"/>
  <c r="I30" i="4"/>
  <c r="F25" i="4"/>
  <c r="G25" i="4"/>
  <c r="H25" i="4"/>
  <c r="H24" i="4"/>
  <c r="G24" i="4"/>
  <c r="F24" i="4"/>
  <c r="F23" i="4"/>
  <c r="H23" i="4"/>
  <c r="F22" i="4"/>
  <c r="G22" i="4"/>
  <c r="I22" i="4"/>
  <c r="H22" i="4"/>
  <c r="F21" i="4"/>
  <c r="G21" i="4"/>
  <c r="H21" i="4"/>
  <c r="H20" i="4"/>
  <c r="G20" i="4"/>
  <c r="F20" i="4"/>
  <c r="K20" i="4" s="1"/>
  <c r="N20" i="4" s="1"/>
  <c r="H19" i="4"/>
  <c r="F19" i="4"/>
  <c r="G19" i="4"/>
  <c r="H18" i="4"/>
  <c r="F18" i="4"/>
  <c r="G18" i="4"/>
  <c r="K18" i="4" s="1"/>
  <c r="N18" i="4" s="1"/>
  <c r="I18" i="4"/>
  <c r="G17" i="4"/>
  <c r="I17" i="4"/>
  <c r="H17" i="4"/>
  <c r="F17" i="4"/>
  <c r="G16" i="4"/>
  <c r="H16" i="4"/>
  <c r="F16" i="4"/>
  <c r="G15" i="4"/>
  <c r="H15" i="4"/>
  <c r="F15" i="4"/>
  <c r="H13" i="4"/>
  <c r="I14" i="4"/>
  <c r="I39" i="4" s="1"/>
  <c r="I40" i="4" s="1"/>
  <c r="G14" i="4"/>
  <c r="H14" i="4"/>
  <c r="F14" i="4"/>
  <c r="F13" i="4"/>
  <c r="H12" i="4"/>
  <c r="G12" i="4"/>
  <c r="F12" i="4"/>
  <c r="F11" i="4"/>
  <c r="H11" i="4"/>
  <c r="G11" i="4"/>
  <c r="J41" i="4"/>
  <c r="H10" i="4"/>
  <c r="I10" i="4"/>
  <c r="G10" i="4"/>
  <c r="F10" i="4"/>
  <c r="H9" i="4"/>
  <c r="G9" i="4"/>
  <c r="F9" i="4"/>
  <c r="H8" i="4"/>
  <c r="G8" i="4"/>
  <c r="F8" i="4"/>
  <c r="K25" i="4"/>
  <c r="N25" i="4" s="1"/>
  <c r="K30" i="4"/>
  <c r="K31" i="4"/>
  <c r="K32" i="4"/>
  <c r="N32" i="4" s="1"/>
  <c r="K34" i="4"/>
  <c r="N34" i="4" s="1"/>
  <c r="K37" i="4"/>
  <c r="K38" i="4"/>
  <c r="N38" i="4" s="1"/>
  <c r="K19" i="4"/>
  <c r="K13" i="4"/>
  <c r="N13" i="4" s="1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F30" i="2"/>
  <c r="I30" i="2" s="1"/>
  <c r="J30" i="2" s="1"/>
  <c r="F36" i="2"/>
  <c r="G36" i="2"/>
  <c r="G37" i="2"/>
  <c r="F37" i="2"/>
  <c r="G38" i="2"/>
  <c r="F38" i="2"/>
  <c r="I38" i="2" s="1"/>
  <c r="J38" i="2" s="1"/>
  <c r="F33" i="2"/>
  <c r="F32" i="2"/>
  <c r="G31" i="2"/>
  <c r="F31" i="2"/>
  <c r="G29" i="2"/>
  <c r="F29" i="2"/>
  <c r="I29" i="2" s="1"/>
  <c r="J29" i="2" s="1"/>
  <c r="K23" i="1"/>
  <c r="I24" i="1"/>
  <c r="I25" i="1" s="1"/>
  <c r="K39" i="2" s="1"/>
  <c r="M19" i="1"/>
  <c r="F22" i="2"/>
  <c r="F21" i="2"/>
  <c r="I21" i="2" s="1"/>
  <c r="J21" i="2" s="1"/>
  <c r="F20" i="2"/>
  <c r="F19" i="2"/>
  <c r="F28" i="2"/>
  <c r="G27" i="2"/>
  <c r="F27" i="2"/>
  <c r="G26" i="2"/>
  <c r="F26" i="2"/>
  <c r="G25" i="2"/>
  <c r="F25" i="2"/>
  <c r="I25" i="2" s="1"/>
  <c r="J25" i="2" s="1"/>
  <c r="F24" i="2"/>
  <c r="I24" i="2" s="1"/>
  <c r="J24" i="2" s="1"/>
  <c r="F23" i="2"/>
  <c r="I23" i="2" s="1"/>
  <c r="J23" i="2" s="1"/>
  <c r="I11" i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H10" i="1"/>
  <c r="I10" i="1" s="1"/>
  <c r="H9" i="1"/>
  <c r="I9" i="1" s="1"/>
  <c r="H8" i="1"/>
  <c r="I8" i="1" s="1"/>
  <c r="I36" i="2"/>
  <c r="J36" i="2" s="1"/>
  <c r="I37" i="2"/>
  <c r="J37" i="2" s="1"/>
  <c r="I35" i="2"/>
  <c r="J35" i="2" s="1"/>
  <c r="G35" i="2"/>
  <c r="H35" i="2"/>
  <c r="F35" i="2"/>
  <c r="J32" i="2"/>
  <c r="J13" i="2"/>
  <c r="J12" i="2"/>
  <c r="J11" i="2"/>
  <c r="I27" i="2"/>
  <c r="J27" i="2" s="1"/>
  <c r="I26" i="2"/>
  <c r="J26" i="2" s="1"/>
  <c r="I20" i="2"/>
  <c r="J20" i="2" s="1"/>
  <c r="I19" i="2"/>
  <c r="J19" i="2" s="1"/>
  <c r="I18" i="2"/>
  <c r="J18" i="2" s="1"/>
  <c r="I17" i="2"/>
  <c r="J17" i="2" s="1"/>
  <c r="I13" i="2"/>
  <c r="I10" i="2"/>
  <c r="J10" i="2" s="1"/>
  <c r="I9" i="2"/>
  <c r="J9" i="2" s="1"/>
  <c r="F18" i="2"/>
  <c r="F17" i="2"/>
  <c r="F16" i="2"/>
  <c r="I16" i="2" s="1"/>
  <c r="J16" i="2" s="1"/>
  <c r="F15" i="2"/>
  <c r="I15" i="2" s="1"/>
  <c r="J15" i="2" s="1"/>
  <c r="F14" i="2"/>
  <c r="I14" i="2" s="1"/>
  <c r="J14" i="2" s="1"/>
  <c r="F13" i="2"/>
  <c r="F12" i="2"/>
  <c r="I12" i="2" s="1"/>
  <c r="F11" i="2"/>
  <c r="I11" i="2" s="1"/>
  <c r="F10" i="2"/>
  <c r="F9" i="2"/>
  <c r="F8" i="2"/>
  <c r="I8" i="2" s="1"/>
  <c r="J8" i="2" s="1"/>
  <c r="F34" i="2"/>
  <c r="I32" i="2"/>
  <c r="I31" i="2"/>
  <c r="J31" i="2" s="1"/>
  <c r="H28" i="2"/>
  <c r="I28" i="2"/>
  <c r="J28" i="2" s="1"/>
  <c r="G28" i="2"/>
  <c r="H27" i="2"/>
  <c r="H26" i="2"/>
  <c r="H25" i="2"/>
  <c r="I22" i="2"/>
  <c r="J22" i="2" s="1"/>
  <c r="H29" i="2"/>
  <c r="G30" i="2"/>
  <c r="H33" i="2"/>
  <c r="G33" i="2"/>
  <c r="I33" i="2" s="1"/>
  <c r="J33" i="2" s="1"/>
  <c r="G34" i="2"/>
  <c r="B12" i="3"/>
  <c r="B10" i="3"/>
  <c r="A10" i="3"/>
  <c r="A1" i="3"/>
  <c r="B1" i="3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G23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H22" i="1"/>
  <c r="I22" i="1" s="1"/>
  <c r="R39" i="4" l="1"/>
  <c r="G39" i="5"/>
  <c r="F39" i="5"/>
  <c r="J26" i="4"/>
  <c r="K26" i="4" s="1"/>
  <c r="N26" i="4" s="1"/>
  <c r="N27" i="4"/>
  <c r="K11" i="4"/>
  <c r="N11" i="4" s="1"/>
  <c r="K22" i="4"/>
  <c r="N22" i="4" s="1"/>
  <c r="K28" i="4"/>
  <c r="N28" i="4"/>
  <c r="K23" i="4"/>
  <c r="N23" i="4" s="1"/>
  <c r="K17" i="4"/>
  <c r="N17" i="4" s="1"/>
  <c r="M39" i="4"/>
  <c r="J42" i="4" s="1"/>
  <c r="H42" i="5" s="1"/>
  <c r="I42" i="5" s="1"/>
  <c r="L39" i="4"/>
  <c r="K29" i="4"/>
  <c r="N29" i="4" s="1"/>
  <c r="K24" i="4"/>
  <c r="N24" i="4" s="1"/>
  <c r="K14" i="4"/>
  <c r="N14" i="4" s="1"/>
  <c r="K12" i="4"/>
  <c r="N12" i="4" s="1"/>
  <c r="K10" i="4"/>
  <c r="N10" i="4" s="1"/>
  <c r="K9" i="4"/>
  <c r="N9" i="4" s="1"/>
  <c r="F39" i="4"/>
  <c r="F40" i="4" s="1"/>
  <c r="K8" i="4"/>
  <c r="N8" i="4" s="1"/>
  <c r="G39" i="4"/>
  <c r="G40" i="4" s="1"/>
  <c r="F39" i="2"/>
  <c r="I34" i="2"/>
  <c r="J34" i="2" s="1"/>
  <c r="I23" i="1"/>
  <c r="J39" i="2"/>
  <c r="I39" i="2"/>
  <c r="I40" i="2" s="1"/>
  <c r="H39" i="2"/>
  <c r="H40" i="2" s="1"/>
  <c r="F40" i="2"/>
  <c r="G39" i="2"/>
  <c r="G40" i="2" s="1"/>
  <c r="K22" i="1"/>
  <c r="L22" i="1"/>
  <c r="N39" i="4" l="1"/>
  <c r="J39" i="4"/>
  <c r="J40" i="4" s="1"/>
  <c r="K39" i="4"/>
  <c r="L39" i="2"/>
  <c r="N39" i="2" l="1"/>
  <c r="K25" i="1" s="1"/>
  <c r="N40" i="2" l="1"/>
</calcChain>
</file>

<file path=xl/sharedStrings.xml><?xml version="1.0" encoding="utf-8"?>
<sst xmlns="http://schemas.openxmlformats.org/spreadsheetml/2006/main" count="268" uniqueCount="73">
  <si>
    <t>No</t>
  </si>
  <si>
    <t xml:space="preserve">HARI </t>
  </si>
  <si>
    <t>TANGGAL</t>
  </si>
  <si>
    <t>MULAI</t>
  </si>
  <si>
    <t>SELESAI</t>
  </si>
  <si>
    <t>JAM PENGISIAN</t>
  </si>
  <si>
    <t>SENIN</t>
  </si>
  <si>
    <t>JUMLAH RETASE</t>
  </si>
  <si>
    <t>ISI TANGKI AIR :</t>
  </si>
  <si>
    <t>LITER</t>
  </si>
  <si>
    <t>JUMLAH UNIT</t>
  </si>
  <si>
    <t>PEROLEHAN (RET)</t>
  </si>
  <si>
    <t>MINGGU</t>
  </si>
  <si>
    <t>SABTU</t>
  </si>
  <si>
    <t>JUM'AT</t>
  </si>
  <si>
    <t>KAMIS</t>
  </si>
  <si>
    <t>RABU</t>
  </si>
  <si>
    <t>SELASA</t>
  </si>
  <si>
    <t>16.48</t>
  </si>
  <si>
    <t>16.38</t>
  </si>
  <si>
    <t>08.20</t>
  </si>
  <si>
    <t>16.47</t>
  </si>
  <si>
    <t>07.59</t>
  </si>
  <si>
    <t>16.30</t>
  </si>
  <si>
    <t>08.09</t>
  </si>
  <si>
    <t>14.53</t>
  </si>
  <si>
    <t>08.00</t>
  </si>
  <si>
    <t>16.40</t>
  </si>
  <si>
    <t>LIBUR</t>
  </si>
  <si>
    <t>JUMLAH (M3)</t>
  </si>
  <si>
    <t>08.10</t>
  </si>
  <si>
    <t>08.02</t>
  </si>
  <si>
    <t>DATA SUPLAI AIR WTP KE BATCHING PLANT</t>
  </si>
  <si>
    <t>PERIODE BULAN JUNI 2023</t>
  </si>
  <si>
    <t>TOTAL BULAN INI</t>
  </si>
  <si>
    <t>PERIODE BULAN JULI 2023</t>
  </si>
  <si>
    <t>m2</t>
  </si>
  <si>
    <t>Kantor KIPI</t>
  </si>
  <si>
    <t>Bathcing plan</t>
  </si>
  <si>
    <t>bulan lalu</t>
  </si>
  <si>
    <t>total</t>
  </si>
  <si>
    <t>selisih</t>
  </si>
  <si>
    <t>WAKTU PENGISIAN</t>
  </si>
  <si>
    <t>JUMLAH (RET)</t>
  </si>
  <si>
    <t>Temporary mes KAI</t>
  </si>
  <si>
    <t xml:space="preserve">DATA SUPPLY AIR WTP </t>
  </si>
  <si>
    <t>flow meter</t>
  </si>
  <si>
    <t>JUMLAH M3</t>
  </si>
  <si>
    <t>TOTAL BULAN INI ( m3 )</t>
  </si>
  <si>
    <t>TOTAL BULAN INI ( ret )</t>
  </si>
  <si>
    <t>dikurangi 10</t>
  </si>
  <si>
    <t>bulan lalu (meter air)</t>
  </si>
  <si>
    <t xml:space="preserve"> Mes Batching plan</t>
  </si>
  <si>
    <t>KOMULATIF BULAN LALU ( m3 )</t>
  </si>
  <si>
    <t>KOMULATIF BULAN INI ( m3 )</t>
  </si>
  <si>
    <t>PERIODE BULAN AGUSTUS 2023</t>
  </si>
  <si>
    <t>Temporary  camp KAI</t>
  </si>
  <si>
    <t>08.01</t>
  </si>
  <si>
    <t>08.03</t>
  </si>
  <si>
    <t>08.04</t>
  </si>
  <si>
    <t>08.05</t>
  </si>
  <si>
    <t>ISI TANGKI AIR : 4400 liter</t>
  </si>
  <si>
    <t>Tangki 1200 liter</t>
  </si>
  <si>
    <t>Tangki 4400 liter</t>
  </si>
  <si>
    <t>(A)</t>
  </si>
  <si>
    <t>(A)+(B)</t>
  </si>
  <si>
    <t>(B)</t>
  </si>
  <si>
    <t>08.18</t>
  </si>
  <si>
    <t>dody</t>
  </si>
  <si>
    <t>vacelindo + dody</t>
  </si>
  <si>
    <t>Tangki 20.000 liter</t>
  </si>
  <si>
    <t>TOTAL</t>
  </si>
  <si>
    <t>TRUK TANGKI 20.000 LITER (KAI)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</si>
</sst>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/>
    <xf numFmtId="0" fontId="0" fillId="0" borderId="1" xfId="0" applyBorder="1"/>
    <xf numFmtId="14" fontId="0" fillId="0" borderId="1" xfId="0" applyNumberFormat="1" applyBorder="1"/>
    <xf numFmtId="0" fontId="0" fillId="0" borderId="6" xfId="0" applyBorder="1"/>
    <xf numFmtId="0" fontId="0" fillId="0" borderId="7" xfId="0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14" fontId="0" fillId="0" borderId="11" xfId="0" applyNumberFormat="1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2" xfId="0" applyBorder="1"/>
    <xf numFmtId="14" fontId="1" fillId="0" borderId="2" xfId="0" applyNumberFormat="1" applyFont="1" applyBorder="1"/>
    <xf numFmtId="0" fontId="0" fillId="0" borderId="2" xfId="0" applyBorder="1" applyAlignment="1">
      <alignment horizontal="center"/>
    </xf>
    <xf numFmtId="0" fontId="1" fillId="0" borderId="13" xfId="0" applyFont="1" applyBorder="1"/>
    <xf numFmtId="0" fontId="1" fillId="0" borderId="14" xfId="0" applyFont="1" applyBorder="1"/>
    <xf numFmtId="14" fontId="1" fillId="0" borderId="14" xfId="0" applyNumberFormat="1" applyFont="1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14" fontId="0" fillId="0" borderId="2" xfId="0" applyNumberFormat="1" applyBorder="1"/>
    <xf numFmtId="0" fontId="0" fillId="0" borderId="11" xfId="0" applyBorder="1" applyAlignment="1">
      <alignment horizontal="center" vertical="center"/>
    </xf>
    <xf numFmtId="14" fontId="0" fillId="0" borderId="0" xfId="0" applyNumberFormat="1"/>
    <xf numFmtId="14" fontId="1" fillId="0" borderId="0" xfId="0" applyNumberFormat="1" applyFont="1"/>
    <xf numFmtId="43" fontId="0" fillId="0" borderId="0" xfId="1" applyFont="1"/>
    <xf numFmtId="43" fontId="0" fillId="0" borderId="0" xfId="0" applyNumberFormat="1"/>
    <xf numFmtId="0" fontId="5" fillId="0" borderId="0" xfId="0" applyFon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/>
    </xf>
    <xf numFmtId="20" fontId="0" fillId="0" borderId="2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43" fontId="1" fillId="0" borderId="0" xfId="1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43" fontId="1" fillId="0" borderId="0" xfId="1" applyFont="1"/>
    <xf numFmtId="0" fontId="1" fillId="0" borderId="20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22" xfId="0" applyFont="1" applyBorder="1"/>
    <xf numFmtId="14" fontId="1" fillId="0" borderId="22" xfId="0" applyNumberFormat="1" applyFont="1" applyBorder="1"/>
    <xf numFmtId="0" fontId="0" fillId="0" borderId="29" xfId="0" applyBorder="1"/>
    <xf numFmtId="0" fontId="0" fillId="0" borderId="30" xfId="0" applyBorder="1" applyAlignment="1">
      <alignment horizontal="center"/>
    </xf>
    <xf numFmtId="0" fontId="0" fillId="0" borderId="31" xfId="0" applyBorder="1"/>
    <xf numFmtId="0" fontId="0" fillId="0" borderId="28" xfId="0" applyBorder="1" applyAlignment="1">
      <alignment horizontal="center"/>
    </xf>
    <xf numFmtId="0" fontId="1" fillId="0" borderId="32" xfId="0" applyFont="1" applyBorder="1"/>
    <xf numFmtId="0" fontId="1" fillId="0" borderId="33" xfId="0" applyFont="1" applyBorder="1" applyAlignment="1">
      <alignment horizontal="center"/>
    </xf>
    <xf numFmtId="0" fontId="1" fillId="0" borderId="34" xfId="0" applyFont="1" applyBorder="1"/>
    <xf numFmtId="0" fontId="0" fillId="0" borderId="35" xfId="0" applyBorder="1"/>
    <xf numFmtId="14" fontId="0" fillId="0" borderId="35" xfId="0" applyNumberFormat="1" applyBorder="1"/>
    <xf numFmtId="0" fontId="0" fillId="0" borderId="35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36" xfId="0" applyBorder="1"/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6" fillId="0" borderId="8" xfId="0" applyFont="1" applyBorder="1" applyAlignment="1">
      <alignment horizontal="center"/>
    </xf>
    <xf numFmtId="43" fontId="1" fillId="0" borderId="0" xfId="0" applyNumberFormat="1" applyFont="1"/>
    <xf numFmtId="43" fontId="7" fillId="0" borderId="0" xfId="0" applyNumberFormat="1" applyFont="1"/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vertical="center" wrapText="1"/>
    </xf>
    <xf numFmtId="0" fontId="1" fillId="0" borderId="37" xfId="0" applyFont="1" applyBorder="1" applyAlignment="1">
      <alignment vertical="center" wrapText="1"/>
    </xf>
    <xf numFmtId="0" fontId="1" fillId="0" borderId="33" xfId="0" applyFont="1" applyBorder="1" applyAlignment="1">
      <alignment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4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1" xfId="0" applyFont="1" applyBorder="1" applyAlignment="1">
      <alignment horizontal="center" vertical="center" wrapText="1"/>
    </xf>
    <xf numFmtId="43" fontId="1" fillId="0" borderId="33" xfId="1" applyFont="1" applyBorder="1" applyAlignment="1">
      <alignment horizontal="center"/>
    </xf>
    <xf numFmtId="43" fontId="0" fillId="0" borderId="0" xfId="0" applyNumberFormat="1" applyAlignment="1">
      <alignment horizontal="center"/>
    </xf>
    <xf numFmtId="164" fontId="0" fillId="0" borderId="30" xfId="1" applyNumberFormat="1" applyFont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164" fontId="1" fillId="0" borderId="33" xfId="1" applyNumberFormat="1" applyFont="1" applyBorder="1" applyAlignment="1">
      <alignment horizontal="center"/>
    </xf>
    <xf numFmtId="0" fontId="0" fillId="3" borderId="30" xfId="0" applyFill="1" applyBorder="1" applyAlignment="1">
      <alignment horizontal="center"/>
    </xf>
    <xf numFmtId="43" fontId="0" fillId="3" borderId="30" xfId="1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64" fontId="0" fillId="4" borderId="30" xfId="1" applyNumberFormat="1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14" fontId="1" fillId="0" borderId="32" xfId="0" applyNumberFormat="1" applyFont="1" applyBorder="1"/>
    <xf numFmtId="14" fontId="0" fillId="0" borderId="34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7E5AC-4C79-4B8E-B782-6E7FDD60F30D}">
  <dimension ref="A1:M42"/>
  <sheetViews>
    <sheetView view="pageBreakPreview" zoomScaleNormal="100" zoomScaleSheetLayoutView="100" workbookViewId="0">
      <selection activeCell="H25" sqref="H25"/>
    </sheetView>
  </sheetViews>
  <sheetFormatPr defaultRowHeight="14.4" x14ac:dyDescent="0.3"/>
  <cols>
    <col min="1" max="1" width="4.6640625" customWidth="1"/>
    <col min="2" max="2" width="10.5546875" bestFit="1" customWidth="1"/>
    <col min="3" max="3" width="12.109375" customWidth="1"/>
    <col min="4" max="4" width="8.33203125" customWidth="1"/>
    <col min="5" max="5" width="8.88671875" customWidth="1"/>
    <col min="6" max="6" width="11.33203125" style="1" customWidth="1"/>
    <col min="7" max="7" width="14.77734375" style="1" customWidth="1"/>
    <col min="8" max="9" width="12.33203125" style="1" customWidth="1"/>
  </cols>
  <sheetData>
    <row r="1" spans="1:9" ht="18" x14ac:dyDescent="0.35">
      <c r="A1" s="26" t="s">
        <v>32</v>
      </c>
    </row>
    <row r="2" spans="1:9" ht="15.6" x14ac:dyDescent="0.3">
      <c r="A2" s="27" t="s">
        <v>33</v>
      </c>
    </row>
    <row r="3" spans="1:9" ht="15.6" x14ac:dyDescent="0.3">
      <c r="A3" s="27"/>
    </row>
    <row r="4" spans="1:9" x14ac:dyDescent="0.3">
      <c r="A4" s="25" t="s">
        <v>8</v>
      </c>
      <c r="C4" s="25">
        <v>1200</v>
      </c>
      <c r="D4" s="25" t="s">
        <v>9</v>
      </c>
    </row>
    <row r="5" spans="1:9" ht="15" thickBot="1" x14ac:dyDescent="0.35"/>
    <row r="6" spans="1:9" ht="15" thickTop="1" x14ac:dyDescent="0.3">
      <c r="A6" s="79" t="s">
        <v>0</v>
      </c>
      <c r="B6" s="81" t="s">
        <v>1</v>
      </c>
      <c r="C6" s="81" t="s">
        <v>2</v>
      </c>
      <c r="D6" s="81" t="s">
        <v>5</v>
      </c>
      <c r="E6" s="81"/>
      <c r="F6" s="77" t="s">
        <v>10</v>
      </c>
      <c r="G6" s="77" t="s">
        <v>11</v>
      </c>
      <c r="H6" s="77" t="s">
        <v>7</v>
      </c>
      <c r="I6" s="77" t="s">
        <v>47</v>
      </c>
    </row>
    <row r="7" spans="1:9" ht="15" thickBot="1" x14ac:dyDescent="0.35">
      <c r="A7" s="80"/>
      <c r="B7" s="82"/>
      <c r="C7" s="82"/>
      <c r="D7" s="29" t="s">
        <v>3</v>
      </c>
      <c r="E7" s="29" t="s">
        <v>4</v>
      </c>
      <c r="F7" s="78"/>
      <c r="G7" s="78"/>
      <c r="H7" s="78"/>
      <c r="I7" s="78"/>
    </row>
    <row r="8" spans="1:9" x14ac:dyDescent="0.3">
      <c r="A8" s="15">
        <v>1</v>
      </c>
      <c r="B8" s="16" t="s">
        <v>14</v>
      </c>
      <c r="C8" s="28">
        <v>45093</v>
      </c>
      <c r="D8" s="18"/>
      <c r="E8" s="18"/>
      <c r="F8" s="18">
        <v>2</v>
      </c>
      <c r="G8" s="18">
        <v>5</v>
      </c>
      <c r="H8" s="18">
        <f>F8*G8</f>
        <v>10</v>
      </c>
      <c r="I8" s="42">
        <f>H8*1.2</f>
        <v>12</v>
      </c>
    </row>
    <row r="9" spans="1:9" x14ac:dyDescent="0.3">
      <c r="A9" s="2">
        <f>A8+1</f>
        <v>2</v>
      </c>
      <c r="B9" s="3" t="s">
        <v>13</v>
      </c>
      <c r="C9" s="4">
        <v>45094</v>
      </c>
      <c r="D9" s="7"/>
      <c r="E9" s="7"/>
      <c r="F9" s="7">
        <v>2</v>
      </c>
      <c r="G9" s="7">
        <v>13</v>
      </c>
      <c r="H9" s="18">
        <f t="shared" ref="H9:H20" si="0">F9*G9</f>
        <v>26</v>
      </c>
      <c r="I9" s="42">
        <f t="shared" ref="I9:I24" si="1">H9*1.2</f>
        <v>31.2</v>
      </c>
    </row>
    <row r="10" spans="1:9" x14ac:dyDescent="0.3">
      <c r="A10" s="2">
        <f t="shared" ref="A10:A22" si="2">A9+1</f>
        <v>3</v>
      </c>
      <c r="B10" s="3" t="s">
        <v>12</v>
      </c>
      <c r="C10" s="4">
        <v>45095</v>
      </c>
      <c r="D10" s="7"/>
      <c r="E10" s="7"/>
      <c r="F10" s="7">
        <v>2</v>
      </c>
      <c r="G10" s="7">
        <v>11</v>
      </c>
      <c r="H10" s="18">
        <f t="shared" si="0"/>
        <v>22</v>
      </c>
      <c r="I10" s="42">
        <f t="shared" si="1"/>
        <v>26.4</v>
      </c>
    </row>
    <row r="11" spans="1:9" x14ac:dyDescent="0.3">
      <c r="A11" s="2">
        <f t="shared" si="2"/>
        <v>4</v>
      </c>
      <c r="B11" s="3" t="s">
        <v>6</v>
      </c>
      <c r="C11" s="4">
        <v>45096</v>
      </c>
      <c r="D11" s="7"/>
      <c r="E11" s="7"/>
      <c r="F11" s="7">
        <v>2</v>
      </c>
      <c r="G11" s="7">
        <v>11</v>
      </c>
      <c r="H11" s="18">
        <f t="shared" si="0"/>
        <v>22</v>
      </c>
      <c r="I11" s="42">
        <f t="shared" si="1"/>
        <v>26.4</v>
      </c>
    </row>
    <row r="12" spans="1:9" x14ac:dyDescent="0.3">
      <c r="A12" s="2">
        <f t="shared" si="2"/>
        <v>5</v>
      </c>
      <c r="B12" s="3" t="s">
        <v>17</v>
      </c>
      <c r="C12" s="4">
        <v>45097</v>
      </c>
      <c r="D12" s="7"/>
      <c r="E12" s="7"/>
      <c r="F12" s="7">
        <v>2</v>
      </c>
      <c r="G12" s="7">
        <v>18</v>
      </c>
      <c r="H12" s="18">
        <f t="shared" si="0"/>
        <v>36</v>
      </c>
      <c r="I12" s="42">
        <f t="shared" si="1"/>
        <v>43.199999999999996</v>
      </c>
    </row>
    <row r="13" spans="1:9" x14ac:dyDescent="0.3">
      <c r="A13" s="2">
        <f t="shared" si="2"/>
        <v>6</v>
      </c>
      <c r="B13" s="3" t="s">
        <v>16</v>
      </c>
      <c r="C13" s="4">
        <v>45098</v>
      </c>
      <c r="D13" s="7"/>
      <c r="E13" s="7"/>
      <c r="F13" s="7">
        <v>4</v>
      </c>
      <c r="G13" s="7">
        <v>11</v>
      </c>
      <c r="H13" s="18">
        <f t="shared" si="0"/>
        <v>44</v>
      </c>
      <c r="I13" s="42">
        <f t="shared" si="1"/>
        <v>52.8</v>
      </c>
    </row>
    <row r="14" spans="1:9" x14ac:dyDescent="0.3">
      <c r="A14" s="2">
        <f t="shared" si="2"/>
        <v>7</v>
      </c>
      <c r="B14" s="3" t="s">
        <v>15</v>
      </c>
      <c r="C14" s="4">
        <v>45099</v>
      </c>
      <c r="D14" s="7"/>
      <c r="E14" s="7"/>
      <c r="F14" s="7">
        <v>4</v>
      </c>
      <c r="G14" s="7">
        <v>12</v>
      </c>
      <c r="H14" s="18">
        <f t="shared" si="0"/>
        <v>48</v>
      </c>
      <c r="I14" s="42">
        <f t="shared" si="1"/>
        <v>57.599999999999994</v>
      </c>
    </row>
    <row r="15" spans="1:9" x14ac:dyDescent="0.3">
      <c r="A15" s="2">
        <f t="shared" si="2"/>
        <v>8</v>
      </c>
      <c r="B15" s="3" t="s">
        <v>14</v>
      </c>
      <c r="C15" s="4">
        <v>45100</v>
      </c>
      <c r="D15" s="7"/>
      <c r="E15" s="7"/>
      <c r="F15" s="7">
        <v>4</v>
      </c>
      <c r="G15" s="7">
        <v>10</v>
      </c>
      <c r="H15" s="18">
        <f t="shared" si="0"/>
        <v>40</v>
      </c>
      <c r="I15" s="42">
        <f t="shared" si="1"/>
        <v>48</v>
      </c>
    </row>
    <row r="16" spans="1:9" x14ac:dyDescent="0.3">
      <c r="A16" s="2">
        <f t="shared" si="2"/>
        <v>9</v>
      </c>
      <c r="B16" s="3" t="s">
        <v>13</v>
      </c>
      <c r="C16" s="4">
        <v>45101</v>
      </c>
      <c r="D16" s="7" t="s">
        <v>31</v>
      </c>
      <c r="E16" s="7" t="s">
        <v>19</v>
      </c>
      <c r="F16" s="7">
        <v>4</v>
      </c>
      <c r="G16" s="7">
        <v>12</v>
      </c>
      <c r="H16" s="18">
        <f t="shared" si="0"/>
        <v>48</v>
      </c>
      <c r="I16" s="42">
        <f t="shared" si="1"/>
        <v>57.599999999999994</v>
      </c>
    </row>
    <row r="17" spans="1:13" x14ac:dyDescent="0.3">
      <c r="A17" s="2">
        <f t="shared" si="2"/>
        <v>10</v>
      </c>
      <c r="B17" s="3" t="s">
        <v>12</v>
      </c>
      <c r="C17" s="4">
        <v>45102</v>
      </c>
      <c r="D17" s="7" t="s">
        <v>30</v>
      </c>
      <c r="E17" s="7" t="s">
        <v>18</v>
      </c>
      <c r="F17" s="7">
        <v>4</v>
      </c>
      <c r="G17" s="7">
        <v>12</v>
      </c>
      <c r="H17" s="18">
        <f t="shared" si="0"/>
        <v>48</v>
      </c>
      <c r="I17" s="42">
        <f t="shared" si="1"/>
        <v>57.599999999999994</v>
      </c>
    </row>
    <row r="18" spans="1:13" x14ac:dyDescent="0.3">
      <c r="A18" s="2">
        <f t="shared" si="2"/>
        <v>11</v>
      </c>
      <c r="B18" s="3" t="s">
        <v>6</v>
      </c>
      <c r="C18" s="4">
        <v>45103</v>
      </c>
      <c r="D18" s="7" t="s">
        <v>20</v>
      </c>
      <c r="E18" s="7" t="s">
        <v>21</v>
      </c>
      <c r="F18" s="7">
        <v>4</v>
      </c>
      <c r="G18" s="7">
        <v>12</v>
      </c>
      <c r="H18" s="18">
        <f t="shared" si="0"/>
        <v>48</v>
      </c>
      <c r="I18" s="42">
        <f t="shared" si="1"/>
        <v>57.599999999999994</v>
      </c>
    </row>
    <row r="19" spans="1:13" x14ac:dyDescent="0.3">
      <c r="A19" s="2">
        <f t="shared" si="2"/>
        <v>12</v>
      </c>
      <c r="B19" s="3" t="s">
        <v>17</v>
      </c>
      <c r="C19" s="4">
        <v>45104</v>
      </c>
      <c r="D19" s="7" t="s">
        <v>22</v>
      </c>
      <c r="E19" s="7" t="s">
        <v>23</v>
      </c>
      <c r="F19" s="7">
        <v>4</v>
      </c>
      <c r="G19" s="7">
        <v>12</v>
      </c>
      <c r="H19" s="18">
        <f t="shared" si="0"/>
        <v>48</v>
      </c>
      <c r="I19" s="42">
        <f t="shared" si="1"/>
        <v>57.599999999999994</v>
      </c>
      <c r="M19">
        <f>17*1.2</f>
        <v>20.399999999999999</v>
      </c>
    </row>
    <row r="20" spans="1:13" x14ac:dyDescent="0.3">
      <c r="A20" s="2">
        <f t="shared" si="2"/>
        <v>13</v>
      </c>
      <c r="B20" s="3" t="s">
        <v>16</v>
      </c>
      <c r="C20" s="4">
        <v>45105</v>
      </c>
      <c r="D20" s="7" t="s">
        <v>24</v>
      </c>
      <c r="E20" s="7" t="s">
        <v>25</v>
      </c>
      <c r="F20" s="7">
        <v>4</v>
      </c>
      <c r="G20" s="7">
        <v>9</v>
      </c>
      <c r="H20" s="18">
        <f t="shared" si="0"/>
        <v>36</v>
      </c>
      <c r="I20" s="42">
        <f t="shared" si="1"/>
        <v>43.199999999999996</v>
      </c>
    </row>
    <row r="21" spans="1:13" x14ac:dyDescent="0.3">
      <c r="A21" s="2">
        <f t="shared" si="2"/>
        <v>14</v>
      </c>
      <c r="B21" s="3" t="s">
        <v>15</v>
      </c>
      <c r="C21" s="4">
        <v>45106</v>
      </c>
      <c r="D21" s="8" t="s">
        <v>28</v>
      </c>
      <c r="E21" s="9"/>
      <c r="F21" s="9"/>
      <c r="G21" s="9"/>
      <c r="H21" s="9"/>
      <c r="I21" s="9"/>
    </row>
    <row r="22" spans="1:13" ht="15" thickBot="1" x14ac:dyDescent="0.35">
      <c r="A22" s="11">
        <f t="shared" si="2"/>
        <v>15</v>
      </c>
      <c r="B22" s="12" t="s">
        <v>14</v>
      </c>
      <c r="C22" s="13">
        <v>45107</v>
      </c>
      <c r="D22" s="14" t="s">
        <v>26</v>
      </c>
      <c r="E22" s="14" t="s">
        <v>27</v>
      </c>
      <c r="F22" s="14">
        <v>4</v>
      </c>
      <c r="G22" s="14">
        <v>12</v>
      </c>
      <c r="H22" s="14">
        <f>F22*G22</f>
        <v>48</v>
      </c>
      <c r="I22" s="42">
        <f t="shared" si="1"/>
        <v>57.599999999999994</v>
      </c>
      <c r="K22">
        <f>SUM(H8:H22)</f>
        <v>524</v>
      </c>
      <c r="L22" t="e">
        <f>SUM(#REF!)</f>
        <v>#REF!</v>
      </c>
    </row>
    <row r="23" spans="1:13" ht="15" thickBot="1" x14ac:dyDescent="0.35">
      <c r="A23" s="19" t="s">
        <v>34</v>
      </c>
      <c r="B23" s="20"/>
      <c r="C23" s="21"/>
      <c r="D23" s="20"/>
      <c r="E23" s="20"/>
      <c r="F23" s="22"/>
      <c r="G23" s="23">
        <f>SUM(G8:G22)</f>
        <v>160</v>
      </c>
      <c r="H23" s="23"/>
      <c r="I23" s="24">
        <f>SUM(I8:I22)</f>
        <v>628.80000000000018</v>
      </c>
      <c r="K23">
        <f>K22*1.2</f>
        <v>628.79999999999995</v>
      </c>
    </row>
    <row r="24" spans="1:13" ht="15" thickTop="1" x14ac:dyDescent="0.3">
      <c r="A24" s="15">
        <f>A22+1</f>
        <v>16</v>
      </c>
      <c r="B24" s="16" t="s">
        <v>13</v>
      </c>
      <c r="C24" s="17">
        <v>45108</v>
      </c>
      <c r="D24" s="16"/>
      <c r="E24" s="16"/>
      <c r="F24" s="18"/>
      <c r="G24" s="18"/>
      <c r="H24" s="18">
        <v>0</v>
      </c>
      <c r="I24" s="42">
        <f t="shared" si="1"/>
        <v>0</v>
      </c>
    </row>
    <row r="25" spans="1:13" x14ac:dyDescent="0.3">
      <c r="A25" s="2"/>
      <c r="B25" s="3"/>
      <c r="C25" s="3"/>
      <c r="D25" s="3"/>
      <c r="E25" s="3"/>
      <c r="F25" s="7"/>
      <c r="G25" s="7"/>
      <c r="H25" s="7"/>
      <c r="I25" s="8">
        <f>I23+I24</f>
        <v>628.80000000000018</v>
      </c>
      <c r="K25" s="33">
        <f>'rekap juli'!$N$39</f>
        <v>-0.59999999999990905</v>
      </c>
    </row>
    <row r="26" spans="1:13" x14ac:dyDescent="0.3">
      <c r="A26" s="2"/>
      <c r="B26" s="3"/>
      <c r="C26" s="3"/>
      <c r="D26" s="3"/>
      <c r="E26" s="3"/>
      <c r="F26" s="7"/>
      <c r="G26" s="7"/>
      <c r="H26" s="7"/>
      <c r="I26" s="8"/>
    </row>
    <row r="27" spans="1:13" x14ac:dyDescent="0.3">
      <c r="A27" s="2"/>
      <c r="B27" s="3"/>
      <c r="C27" s="3"/>
      <c r="D27" s="3"/>
      <c r="E27" s="3"/>
      <c r="F27" s="7"/>
      <c r="G27" s="7"/>
      <c r="H27" s="7"/>
      <c r="I27" s="8"/>
    </row>
    <row r="28" spans="1:13" x14ac:dyDescent="0.3">
      <c r="A28" s="2"/>
      <c r="B28" s="3"/>
      <c r="C28" s="3"/>
      <c r="D28" s="3"/>
      <c r="E28" s="3"/>
      <c r="F28" s="7"/>
      <c r="G28" s="7"/>
      <c r="H28" s="7"/>
      <c r="I28" s="8"/>
    </row>
    <row r="29" spans="1:13" x14ac:dyDescent="0.3">
      <c r="A29" s="2"/>
      <c r="B29" s="3"/>
      <c r="C29" s="3"/>
      <c r="D29" s="3"/>
      <c r="E29" s="3"/>
      <c r="F29" s="7"/>
      <c r="G29" s="7"/>
      <c r="H29" s="7"/>
      <c r="I29" s="8"/>
    </row>
    <row r="30" spans="1:13" x14ac:dyDescent="0.3">
      <c r="A30" s="2"/>
      <c r="B30" s="3"/>
      <c r="C30" s="3"/>
      <c r="D30" s="3"/>
      <c r="E30" s="3"/>
      <c r="F30" s="7"/>
      <c r="G30" s="7"/>
      <c r="H30" s="7"/>
      <c r="I30" s="8"/>
    </row>
    <row r="31" spans="1:13" x14ac:dyDescent="0.3">
      <c r="A31" s="2"/>
      <c r="B31" s="3"/>
      <c r="C31" s="3"/>
      <c r="D31" s="3"/>
      <c r="E31" s="3"/>
      <c r="F31" s="7"/>
      <c r="G31" s="7"/>
      <c r="H31" s="7"/>
      <c r="I31" s="8"/>
    </row>
    <row r="32" spans="1:13" x14ac:dyDescent="0.3">
      <c r="A32" s="2"/>
      <c r="B32" s="3"/>
      <c r="C32" s="3"/>
      <c r="D32" s="3"/>
      <c r="E32" s="3"/>
      <c r="F32" s="7"/>
      <c r="G32" s="7"/>
      <c r="H32" s="7"/>
      <c r="I32" s="8"/>
    </row>
    <row r="33" spans="1:9" x14ac:dyDescent="0.3">
      <c r="A33" s="2"/>
      <c r="B33" s="3"/>
      <c r="C33" s="3"/>
      <c r="D33" s="3"/>
      <c r="E33" s="3"/>
      <c r="F33" s="7"/>
      <c r="G33" s="7"/>
      <c r="H33" s="7"/>
      <c r="I33" s="8"/>
    </row>
    <row r="34" spans="1:9" x14ac:dyDescent="0.3">
      <c r="A34" s="2"/>
      <c r="B34" s="3"/>
      <c r="C34" s="3"/>
      <c r="D34" s="3"/>
      <c r="E34" s="3"/>
      <c r="F34" s="7"/>
      <c r="G34" s="7"/>
      <c r="H34" s="7"/>
      <c r="I34" s="8"/>
    </row>
    <row r="35" spans="1:9" x14ac:dyDescent="0.3">
      <c r="A35" s="2"/>
      <c r="B35" s="3"/>
      <c r="C35" s="3"/>
      <c r="D35" s="3"/>
      <c r="E35" s="3"/>
      <c r="F35" s="7"/>
      <c r="G35" s="7"/>
      <c r="H35" s="7"/>
      <c r="I35" s="8"/>
    </row>
    <row r="36" spans="1:9" x14ac:dyDescent="0.3">
      <c r="A36" s="2"/>
      <c r="B36" s="3"/>
      <c r="C36" s="3"/>
      <c r="D36" s="3"/>
      <c r="E36" s="3"/>
      <c r="F36" s="7"/>
      <c r="G36" s="7"/>
      <c r="H36" s="7"/>
      <c r="I36" s="8"/>
    </row>
    <row r="37" spans="1:9" x14ac:dyDescent="0.3">
      <c r="A37" s="2"/>
      <c r="B37" s="3"/>
      <c r="C37" s="3"/>
      <c r="D37" s="3"/>
      <c r="E37" s="3"/>
      <c r="F37" s="7"/>
      <c r="G37" s="7"/>
      <c r="H37" s="7"/>
      <c r="I37" s="8"/>
    </row>
    <row r="38" spans="1:9" x14ac:dyDescent="0.3">
      <c r="A38" s="2"/>
      <c r="B38" s="3"/>
      <c r="C38" s="3"/>
      <c r="D38" s="3"/>
      <c r="E38" s="3"/>
      <c r="F38" s="7"/>
      <c r="G38" s="7"/>
      <c r="H38" s="7"/>
      <c r="I38" s="8"/>
    </row>
    <row r="39" spans="1:9" x14ac:dyDescent="0.3">
      <c r="A39" s="2"/>
      <c r="B39" s="3"/>
      <c r="C39" s="3"/>
      <c r="D39" s="3"/>
      <c r="E39" s="3"/>
      <c r="F39" s="7"/>
      <c r="G39" s="7"/>
      <c r="H39" s="7"/>
      <c r="I39" s="8"/>
    </row>
    <row r="40" spans="1:9" x14ac:dyDescent="0.3">
      <c r="A40" s="2"/>
      <c r="B40" s="3"/>
      <c r="C40" s="3"/>
      <c r="D40" s="3"/>
      <c r="E40" s="3"/>
      <c r="F40" s="7"/>
      <c r="G40" s="7"/>
      <c r="H40" s="7"/>
      <c r="I40" s="8"/>
    </row>
    <row r="41" spans="1:9" ht="15" thickBot="1" x14ac:dyDescent="0.35">
      <c r="A41" s="5"/>
      <c r="B41" s="6"/>
      <c r="C41" s="6"/>
      <c r="D41" s="6"/>
      <c r="E41" s="6"/>
      <c r="F41" s="10"/>
      <c r="G41" s="10"/>
      <c r="H41" s="10"/>
      <c r="I41" s="43"/>
    </row>
    <row r="42" spans="1:9" ht="15" thickTop="1" x14ac:dyDescent="0.3"/>
  </sheetData>
  <mergeCells count="8">
    <mergeCell ref="I6:I7"/>
    <mergeCell ref="A6:A7"/>
    <mergeCell ref="F6:F7"/>
    <mergeCell ref="H6:H7"/>
    <mergeCell ref="D6:E6"/>
    <mergeCell ref="G6:G7"/>
    <mergeCell ref="B6:B7"/>
    <mergeCell ref="C6:C7"/>
  </mergeCells>
  <printOptions horizontalCentered="1"/>
  <pageMargins left="0.51181102362204722" right="0.31496062992125984" top="0.74803149606299213" bottom="0.74803149606299213" header="0.31496062992125984" footer="0.31496062992125984"/>
  <pageSetup paperSize="9"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AF8A6-6C66-432E-8579-FD4759262261}">
  <dimension ref="A1:O52"/>
  <sheetViews>
    <sheetView view="pageBreakPreview" topLeftCell="A29" zoomScaleNormal="100" zoomScaleSheetLayoutView="100" workbookViewId="0">
      <selection activeCell="G42" sqref="G42"/>
    </sheetView>
  </sheetViews>
  <sheetFormatPr defaultRowHeight="14.4" x14ac:dyDescent="0.3"/>
  <cols>
    <col min="1" max="1" width="4.6640625" customWidth="1"/>
    <col min="2" max="2" width="10.5546875" bestFit="1" customWidth="1"/>
    <col min="3" max="3" width="12.109375" customWidth="1"/>
    <col min="4" max="5" width="8.33203125" customWidth="1"/>
    <col min="6" max="12" width="12.5546875" customWidth="1"/>
    <col min="13" max="13" width="9.33203125" bestFit="1" customWidth="1"/>
    <col min="14" max="14" width="9.21875" customWidth="1"/>
  </cols>
  <sheetData>
    <row r="1" spans="1:12" ht="18" x14ac:dyDescent="0.35">
      <c r="A1" s="26" t="s">
        <v>45</v>
      </c>
    </row>
    <row r="2" spans="1:12" ht="15.6" x14ac:dyDescent="0.3">
      <c r="A2" s="27" t="s">
        <v>35</v>
      </c>
    </row>
    <row r="3" spans="1:12" ht="15.6" x14ac:dyDescent="0.3">
      <c r="A3" s="27"/>
    </row>
    <row r="4" spans="1:12" x14ac:dyDescent="0.3">
      <c r="A4" s="25" t="s">
        <v>8</v>
      </c>
      <c r="C4" s="25">
        <v>1200</v>
      </c>
      <c r="D4" s="25" t="s">
        <v>9</v>
      </c>
    </row>
    <row r="5" spans="1:12" ht="15" thickBot="1" x14ac:dyDescent="0.35"/>
    <row r="6" spans="1:12" ht="29.4" customHeight="1" x14ac:dyDescent="0.3">
      <c r="A6" s="89" t="s">
        <v>0</v>
      </c>
      <c r="B6" s="91" t="s">
        <v>1</v>
      </c>
      <c r="C6" s="91" t="s">
        <v>2</v>
      </c>
      <c r="D6" s="93" t="s">
        <v>42</v>
      </c>
      <c r="E6" s="93"/>
      <c r="F6" s="85" t="s">
        <v>38</v>
      </c>
      <c r="G6" s="85" t="s">
        <v>44</v>
      </c>
      <c r="H6" s="83" t="s">
        <v>37</v>
      </c>
      <c r="I6" s="85" t="s">
        <v>43</v>
      </c>
      <c r="J6" s="87" t="s">
        <v>29</v>
      </c>
      <c r="K6" s="36"/>
      <c r="L6" s="36"/>
    </row>
    <row r="7" spans="1:12" ht="15" thickBot="1" x14ac:dyDescent="0.35">
      <c r="A7" s="90"/>
      <c r="B7" s="92"/>
      <c r="C7" s="92"/>
      <c r="D7" s="41" t="s">
        <v>3</v>
      </c>
      <c r="E7" s="41" t="s">
        <v>4</v>
      </c>
      <c r="F7" s="86"/>
      <c r="G7" s="86"/>
      <c r="H7" s="84"/>
      <c r="I7" s="86"/>
      <c r="J7" s="88"/>
      <c r="K7" s="36"/>
      <c r="L7" s="36"/>
    </row>
    <row r="8" spans="1:12" x14ac:dyDescent="0.3">
      <c r="A8" s="49">
        <v>1</v>
      </c>
      <c r="B8" s="16" t="s">
        <v>13</v>
      </c>
      <c r="C8" s="28">
        <v>45108</v>
      </c>
      <c r="D8" s="18" t="s">
        <v>26</v>
      </c>
      <c r="E8" s="38">
        <v>0.66666666666666663</v>
      </c>
      <c r="F8" s="18">
        <f>12*4</f>
        <v>48</v>
      </c>
      <c r="G8" s="18"/>
      <c r="H8" s="42"/>
      <c r="I8" s="18">
        <f>F8+G8+H8</f>
        <v>48</v>
      </c>
      <c r="J8" s="50">
        <f>I8*1.2</f>
        <v>57.599999999999994</v>
      </c>
      <c r="K8" s="37"/>
      <c r="L8" s="37"/>
    </row>
    <row r="9" spans="1:12" x14ac:dyDescent="0.3">
      <c r="A9" s="51">
        <f t="shared" ref="A9:A38" si="0">A8+1</f>
        <v>2</v>
      </c>
      <c r="B9" s="3" t="s">
        <v>12</v>
      </c>
      <c r="C9" s="4">
        <v>45109</v>
      </c>
      <c r="D9" s="7" t="s">
        <v>26</v>
      </c>
      <c r="E9" s="39">
        <v>0.66666666666666663</v>
      </c>
      <c r="F9" s="7">
        <f t="shared" ref="F9:F18" si="1">12*4</f>
        <v>48</v>
      </c>
      <c r="G9" s="7"/>
      <c r="H9" s="8"/>
      <c r="I9" s="18">
        <f t="shared" ref="I9:I34" si="2">F9+G9+H9</f>
        <v>48</v>
      </c>
      <c r="J9" s="50">
        <f t="shared" ref="J9:J34" si="3">I9*1.2</f>
        <v>57.599999999999994</v>
      </c>
      <c r="K9" s="37"/>
      <c r="L9" s="37"/>
    </row>
    <row r="10" spans="1:12" x14ac:dyDescent="0.3">
      <c r="A10" s="51">
        <f t="shared" si="0"/>
        <v>3</v>
      </c>
      <c r="B10" s="3" t="s">
        <v>6</v>
      </c>
      <c r="C10" s="4">
        <v>45110</v>
      </c>
      <c r="D10" s="7" t="s">
        <v>26</v>
      </c>
      <c r="E10" s="39">
        <v>0.66666666666666663</v>
      </c>
      <c r="F10" s="7">
        <f t="shared" si="1"/>
        <v>48</v>
      </c>
      <c r="G10" s="7"/>
      <c r="H10" s="8"/>
      <c r="I10" s="18">
        <f t="shared" si="2"/>
        <v>48</v>
      </c>
      <c r="J10" s="50">
        <f t="shared" si="3"/>
        <v>57.599999999999994</v>
      </c>
      <c r="K10" s="37"/>
      <c r="L10" s="37"/>
    </row>
    <row r="11" spans="1:12" x14ac:dyDescent="0.3">
      <c r="A11" s="51">
        <f t="shared" si="0"/>
        <v>4</v>
      </c>
      <c r="B11" s="3" t="s">
        <v>17</v>
      </c>
      <c r="C11" s="4">
        <v>45111</v>
      </c>
      <c r="D11" s="7" t="s">
        <v>26</v>
      </c>
      <c r="E11" s="39">
        <v>0.66666666666666663</v>
      </c>
      <c r="F11" s="7">
        <f t="shared" si="1"/>
        <v>48</v>
      </c>
      <c r="G11" s="7"/>
      <c r="H11" s="8"/>
      <c r="I11" s="18">
        <f t="shared" si="2"/>
        <v>48</v>
      </c>
      <c r="J11" s="50">
        <f t="shared" si="3"/>
        <v>57.599999999999994</v>
      </c>
      <c r="K11" s="37"/>
      <c r="L11" s="37"/>
    </row>
    <row r="12" spans="1:12" x14ac:dyDescent="0.3">
      <c r="A12" s="51">
        <f t="shared" si="0"/>
        <v>5</v>
      </c>
      <c r="B12" s="3" t="s">
        <v>16</v>
      </c>
      <c r="C12" s="4">
        <v>45112</v>
      </c>
      <c r="D12" s="7" t="s">
        <v>26</v>
      </c>
      <c r="E12" s="39">
        <v>0.66666666666666663</v>
      </c>
      <c r="F12" s="7">
        <f t="shared" si="1"/>
        <v>48</v>
      </c>
      <c r="G12" s="7"/>
      <c r="H12" s="8"/>
      <c r="I12" s="18">
        <f t="shared" si="2"/>
        <v>48</v>
      </c>
      <c r="J12" s="50">
        <f t="shared" si="3"/>
        <v>57.599999999999994</v>
      </c>
      <c r="K12" s="37"/>
      <c r="L12" s="37"/>
    </row>
    <row r="13" spans="1:12" x14ac:dyDescent="0.3">
      <c r="A13" s="51">
        <f t="shared" si="0"/>
        <v>6</v>
      </c>
      <c r="B13" s="3" t="s">
        <v>15</v>
      </c>
      <c r="C13" s="4">
        <v>45113</v>
      </c>
      <c r="D13" s="7" t="s">
        <v>26</v>
      </c>
      <c r="E13" s="39">
        <v>0.66666666666666663</v>
      </c>
      <c r="F13" s="7">
        <f t="shared" si="1"/>
        <v>48</v>
      </c>
      <c r="G13" s="7"/>
      <c r="H13" s="8"/>
      <c r="I13" s="18">
        <f t="shared" si="2"/>
        <v>48</v>
      </c>
      <c r="J13" s="50">
        <f t="shared" si="3"/>
        <v>57.599999999999994</v>
      </c>
      <c r="K13" s="37"/>
      <c r="L13" s="37"/>
    </row>
    <row r="14" spans="1:12" x14ac:dyDescent="0.3">
      <c r="A14" s="51">
        <f t="shared" si="0"/>
        <v>7</v>
      </c>
      <c r="B14" s="3" t="s">
        <v>14</v>
      </c>
      <c r="C14" s="4">
        <v>45114</v>
      </c>
      <c r="D14" s="7" t="s">
        <v>26</v>
      </c>
      <c r="E14" s="39">
        <v>0.66666666666666663</v>
      </c>
      <c r="F14" s="7">
        <f t="shared" si="1"/>
        <v>48</v>
      </c>
      <c r="G14" s="7"/>
      <c r="H14" s="8"/>
      <c r="I14" s="18">
        <f t="shared" si="2"/>
        <v>48</v>
      </c>
      <c r="J14" s="50">
        <f t="shared" si="3"/>
        <v>57.599999999999994</v>
      </c>
      <c r="K14" s="37"/>
      <c r="L14" s="37"/>
    </row>
    <row r="15" spans="1:12" x14ac:dyDescent="0.3">
      <c r="A15" s="51">
        <f t="shared" si="0"/>
        <v>8</v>
      </c>
      <c r="B15" s="3" t="s">
        <v>13</v>
      </c>
      <c r="C15" s="4">
        <v>45115</v>
      </c>
      <c r="D15" s="7" t="s">
        <v>26</v>
      </c>
      <c r="E15" s="39">
        <v>0.66666666666666663</v>
      </c>
      <c r="F15" s="7">
        <f t="shared" si="1"/>
        <v>48</v>
      </c>
      <c r="G15" s="7"/>
      <c r="H15" s="8"/>
      <c r="I15" s="18">
        <f t="shared" si="2"/>
        <v>48</v>
      </c>
      <c r="J15" s="50">
        <f t="shared" si="3"/>
        <v>57.599999999999994</v>
      </c>
      <c r="K15" s="37"/>
      <c r="L15" s="37"/>
    </row>
    <row r="16" spans="1:12" x14ac:dyDescent="0.3">
      <c r="A16" s="51">
        <f t="shared" si="0"/>
        <v>9</v>
      </c>
      <c r="B16" s="3" t="s">
        <v>12</v>
      </c>
      <c r="C16" s="4">
        <v>45116</v>
      </c>
      <c r="D16" s="7" t="s">
        <v>26</v>
      </c>
      <c r="E16" s="39">
        <v>0.66666666666666663</v>
      </c>
      <c r="F16" s="7">
        <f t="shared" si="1"/>
        <v>48</v>
      </c>
      <c r="G16" s="7"/>
      <c r="H16" s="8"/>
      <c r="I16" s="18">
        <f t="shared" si="2"/>
        <v>48</v>
      </c>
      <c r="J16" s="50">
        <f t="shared" si="3"/>
        <v>57.599999999999994</v>
      </c>
      <c r="K16" s="37"/>
      <c r="L16" s="37"/>
    </row>
    <row r="17" spans="1:14" x14ac:dyDescent="0.3">
      <c r="A17" s="51">
        <f t="shared" si="0"/>
        <v>10</v>
      </c>
      <c r="B17" s="3" t="s">
        <v>6</v>
      </c>
      <c r="C17" s="4">
        <v>45117</v>
      </c>
      <c r="D17" s="7" t="s">
        <v>26</v>
      </c>
      <c r="E17" s="39">
        <v>0.66666666666666663</v>
      </c>
      <c r="F17" s="7">
        <f t="shared" si="1"/>
        <v>48</v>
      </c>
      <c r="G17" s="7"/>
      <c r="H17" s="8"/>
      <c r="I17" s="18">
        <f t="shared" si="2"/>
        <v>48</v>
      </c>
      <c r="J17" s="50">
        <f t="shared" si="3"/>
        <v>57.599999999999994</v>
      </c>
      <c r="K17" s="37"/>
      <c r="L17" s="37"/>
    </row>
    <row r="18" spans="1:14" x14ac:dyDescent="0.3">
      <c r="A18" s="51">
        <f t="shared" si="0"/>
        <v>11</v>
      </c>
      <c r="B18" s="3" t="s">
        <v>17</v>
      </c>
      <c r="C18" s="4">
        <v>45118</v>
      </c>
      <c r="D18" s="7" t="s">
        <v>26</v>
      </c>
      <c r="E18" s="39">
        <v>0.66666666666666663</v>
      </c>
      <c r="F18" s="7">
        <f t="shared" si="1"/>
        <v>48</v>
      </c>
      <c r="G18" s="7"/>
      <c r="H18" s="8"/>
      <c r="I18" s="18">
        <f t="shared" si="2"/>
        <v>48</v>
      </c>
      <c r="J18" s="50">
        <f t="shared" si="3"/>
        <v>57.599999999999994</v>
      </c>
      <c r="K18" s="37"/>
      <c r="L18" s="37"/>
    </row>
    <row r="19" spans="1:14" x14ac:dyDescent="0.3">
      <c r="A19" s="51">
        <f t="shared" si="0"/>
        <v>12</v>
      </c>
      <c r="B19" s="3" t="s">
        <v>16</v>
      </c>
      <c r="C19" s="4">
        <v>45119</v>
      </c>
      <c r="D19" s="7" t="s">
        <v>26</v>
      </c>
      <c r="E19" s="39">
        <v>0.91666666666666663</v>
      </c>
      <c r="F19" s="7">
        <f>16+16+12+16+12+12+11+12</f>
        <v>107</v>
      </c>
      <c r="G19" s="7"/>
      <c r="H19" s="8"/>
      <c r="I19" s="18">
        <f t="shared" si="2"/>
        <v>107</v>
      </c>
      <c r="J19" s="50">
        <f t="shared" si="3"/>
        <v>128.4</v>
      </c>
      <c r="K19" s="1"/>
      <c r="L19" s="1"/>
    </row>
    <row r="20" spans="1:14" x14ac:dyDescent="0.3">
      <c r="A20" s="51">
        <f t="shared" si="0"/>
        <v>13</v>
      </c>
      <c r="B20" s="3" t="s">
        <v>15</v>
      </c>
      <c r="C20" s="4">
        <v>45120</v>
      </c>
      <c r="D20" s="7" t="s">
        <v>24</v>
      </c>
      <c r="E20" s="39">
        <v>0.91666666666666663</v>
      </c>
      <c r="F20" s="7">
        <f>12+12+12+12+18+18+18+18</f>
        <v>120</v>
      </c>
      <c r="G20" s="7"/>
      <c r="H20" s="8"/>
      <c r="I20" s="18">
        <f t="shared" si="2"/>
        <v>120</v>
      </c>
      <c r="J20" s="50">
        <f t="shared" si="3"/>
        <v>144</v>
      </c>
      <c r="K20" s="1"/>
      <c r="L20" s="1"/>
    </row>
    <row r="21" spans="1:14" x14ac:dyDescent="0.3">
      <c r="A21" s="51">
        <f t="shared" si="0"/>
        <v>14</v>
      </c>
      <c r="B21" s="3" t="s">
        <v>14</v>
      </c>
      <c r="C21" s="4">
        <v>45121</v>
      </c>
      <c r="D21" s="7" t="s">
        <v>26</v>
      </c>
      <c r="E21" s="39">
        <v>0.91666666666666663</v>
      </c>
      <c r="F21" s="7">
        <f>12+12+12+12+17+17+17+17</f>
        <v>116</v>
      </c>
      <c r="G21" s="7"/>
      <c r="H21" s="8"/>
      <c r="I21" s="18">
        <f t="shared" si="2"/>
        <v>116</v>
      </c>
      <c r="J21" s="50">
        <f t="shared" si="3"/>
        <v>139.19999999999999</v>
      </c>
      <c r="K21" s="1"/>
      <c r="L21" s="1"/>
    </row>
    <row r="22" spans="1:14" x14ac:dyDescent="0.3">
      <c r="A22" s="49">
        <f t="shared" si="0"/>
        <v>15</v>
      </c>
      <c r="B22" s="16" t="s">
        <v>13</v>
      </c>
      <c r="C22" s="4">
        <v>45122</v>
      </c>
      <c r="D22" s="18" t="s">
        <v>31</v>
      </c>
      <c r="E22" s="39">
        <v>0.91666666666666663</v>
      </c>
      <c r="F22" s="7">
        <f>17+17+17+17+12+12+12+12</f>
        <v>116</v>
      </c>
      <c r="G22" s="7"/>
      <c r="H22" s="8"/>
      <c r="I22" s="18">
        <f t="shared" si="2"/>
        <v>116</v>
      </c>
      <c r="J22" s="50">
        <f t="shared" si="3"/>
        <v>139.19999999999999</v>
      </c>
      <c r="K22" s="1"/>
      <c r="L22" s="1"/>
    </row>
    <row r="23" spans="1:14" x14ac:dyDescent="0.3">
      <c r="A23" s="51">
        <f t="shared" si="0"/>
        <v>16</v>
      </c>
      <c r="B23" s="3" t="s">
        <v>12</v>
      </c>
      <c r="C23" s="4">
        <v>45123</v>
      </c>
      <c r="D23" s="7" t="s">
        <v>30</v>
      </c>
      <c r="E23" s="39">
        <v>0.91666666666666663</v>
      </c>
      <c r="F23" s="7">
        <f>11+11+12+12+16+16+16+12-4</f>
        <v>102</v>
      </c>
      <c r="G23" s="7">
        <v>4</v>
      </c>
      <c r="H23" s="8"/>
      <c r="I23" s="18">
        <f t="shared" si="2"/>
        <v>106</v>
      </c>
      <c r="J23" s="50">
        <f t="shared" si="3"/>
        <v>127.19999999999999</v>
      </c>
      <c r="K23" s="1"/>
      <c r="L23" s="1"/>
    </row>
    <row r="24" spans="1:14" x14ac:dyDescent="0.3">
      <c r="A24" s="51">
        <f t="shared" si="0"/>
        <v>17</v>
      </c>
      <c r="B24" s="3" t="s">
        <v>6</v>
      </c>
      <c r="C24" s="4">
        <v>45124</v>
      </c>
      <c r="D24" s="7" t="s">
        <v>20</v>
      </c>
      <c r="E24" s="39">
        <v>0.91666666666666663</v>
      </c>
      <c r="F24" s="7">
        <f>9-3+12+12+11+17+17+15-2+15-2</f>
        <v>101</v>
      </c>
      <c r="G24" s="7">
        <v>7</v>
      </c>
      <c r="H24" s="8">
        <v>2</v>
      </c>
      <c r="I24" s="18">
        <f t="shared" si="2"/>
        <v>110</v>
      </c>
      <c r="J24" s="50">
        <f t="shared" si="3"/>
        <v>132</v>
      </c>
      <c r="K24" s="1"/>
      <c r="L24" s="1"/>
    </row>
    <row r="25" spans="1:14" x14ac:dyDescent="0.3">
      <c r="A25" s="51">
        <f t="shared" si="0"/>
        <v>18</v>
      </c>
      <c r="B25" s="3" t="s">
        <v>17</v>
      </c>
      <c r="C25" s="4">
        <v>45125</v>
      </c>
      <c r="D25" s="7" t="s">
        <v>22</v>
      </c>
      <c r="E25" s="39">
        <v>0.91666666666666663</v>
      </c>
      <c r="F25" s="7">
        <f>9+17+17+17+11+3+12+11</f>
        <v>97</v>
      </c>
      <c r="G25" s="7">
        <f>2+2+2</f>
        <v>6</v>
      </c>
      <c r="H25" s="8">
        <f>1+3+1</f>
        <v>5</v>
      </c>
      <c r="I25" s="18">
        <f t="shared" si="2"/>
        <v>108</v>
      </c>
      <c r="J25" s="50">
        <f t="shared" si="3"/>
        <v>129.6</v>
      </c>
      <c r="K25" s="1"/>
      <c r="L25" s="1"/>
    </row>
    <row r="26" spans="1:14" x14ac:dyDescent="0.3">
      <c r="A26" s="51">
        <f t="shared" si="0"/>
        <v>19</v>
      </c>
      <c r="B26" s="3" t="s">
        <v>16</v>
      </c>
      <c r="C26" s="4">
        <v>45126</v>
      </c>
      <c r="D26" s="7" t="s">
        <v>24</v>
      </c>
      <c r="E26" s="39">
        <v>0.91666666666666663</v>
      </c>
      <c r="F26" s="7">
        <f>11+11+11+7+12+5+3+8+17+5+5+5+5+5</f>
        <v>110</v>
      </c>
      <c r="G26" s="7">
        <f>4+4+2</f>
        <v>10</v>
      </c>
      <c r="H26" s="8">
        <f>1+1+1+1</f>
        <v>4</v>
      </c>
      <c r="I26" s="18">
        <f t="shared" si="2"/>
        <v>124</v>
      </c>
      <c r="J26" s="50">
        <f t="shared" si="3"/>
        <v>148.79999999999998</v>
      </c>
      <c r="K26" s="1"/>
      <c r="L26" s="1"/>
    </row>
    <row r="27" spans="1:14" x14ac:dyDescent="0.3">
      <c r="A27" s="51">
        <f t="shared" si="0"/>
        <v>20</v>
      </c>
      <c r="B27" s="3" t="s">
        <v>15</v>
      </c>
      <c r="C27" s="4">
        <v>45127</v>
      </c>
      <c r="D27" s="7" t="s">
        <v>24</v>
      </c>
      <c r="E27" s="39">
        <v>0.91666666666666663</v>
      </c>
      <c r="F27" s="7">
        <f>6+6+6+11+12+6+11+6+6+6+6</f>
        <v>82</v>
      </c>
      <c r="G27" s="7">
        <f>5+1+5+1</f>
        <v>12</v>
      </c>
      <c r="H27" s="8">
        <f>1</f>
        <v>1</v>
      </c>
      <c r="I27" s="18">
        <f t="shared" si="2"/>
        <v>95</v>
      </c>
      <c r="J27" s="50">
        <f t="shared" si="3"/>
        <v>114</v>
      </c>
      <c r="K27" s="1"/>
      <c r="L27" s="1"/>
      <c r="N27" s="35"/>
    </row>
    <row r="28" spans="1:14" x14ac:dyDescent="0.3">
      <c r="A28" s="51">
        <f t="shared" si="0"/>
        <v>21</v>
      </c>
      <c r="B28" s="3" t="s">
        <v>14</v>
      </c>
      <c r="C28" s="4">
        <v>45128</v>
      </c>
      <c r="D28" s="7" t="s">
        <v>24</v>
      </c>
      <c r="E28" s="39">
        <v>0.91666666666666663</v>
      </c>
      <c r="F28" s="7">
        <f>12+12+5+11+18+6+6+6+6</f>
        <v>82</v>
      </c>
      <c r="G28" s="7">
        <f>5+5</f>
        <v>10</v>
      </c>
      <c r="H28" s="8">
        <f>1</f>
        <v>1</v>
      </c>
      <c r="I28" s="18">
        <f t="shared" si="2"/>
        <v>93</v>
      </c>
      <c r="J28" s="50">
        <f t="shared" si="3"/>
        <v>111.6</v>
      </c>
      <c r="K28" s="1"/>
      <c r="L28" s="1"/>
    </row>
    <row r="29" spans="1:14" x14ac:dyDescent="0.3">
      <c r="A29" s="51">
        <f t="shared" si="0"/>
        <v>22</v>
      </c>
      <c r="B29" s="16" t="s">
        <v>13</v>
      </c>
      <c r="C29" s="4">
        <v>45129</v>
      </c>
      <c r="D29" s="7" t="s">
        <v>24</v>
      </c>
      <c r="E29" s="39">
        <v>0.91666666666666663</v>
      </c>
      <c r="F29" s="7">
        <f>12+4+12+7+12+12+11+3+3+11+3+3+3+3</f>
        <v>99</v>
      </c>
      <c r="G29" s="7">
        <f>4+3</f>
        <v>7</v>
      </c>
      <c r="H29" s="8">
        <f>1+1+1+1</f>
        <v>4</v>
      </c>
      <c r="I29" s="18">
        <f t="shared" si="2"/>
        <v>110</v>
      </c>
      <c r="J29" s="50">
        <f t="shared" si="3"/>
        <v>132</v>
      </c>
      <c r="K29" s="1"/>
      <c r="L29" s="1"/>
    </row>
    <row r="30" spans="1:14" x14ac:dyDescent="0.3">
      <c r="A30" s="51">
        <f t="shared" si="0"/>
        <v>23</v>
      </c>
      <c r="B30" s="3" t="s">
        <v>12</v>
      </c>
      <c r="C30" s="4">
        <v>45130</v>
      </c>
      <c r="D30" s="7" t="s">
        <v>24</v>
      </c>
      <c r="E30" s="39">
        <v>0.91666666666666663</v>
      </c>
      <c r="F30" s="7">
        <f>12+6+12+7+6+6+6+17+6+6+18</f>
        <v>102</v>
      </c>
      <c r="G30" s="7">
        <f>2+4</f>
        <v>6</v>
      </c>
      <c r="H30" s="8">
        <v>1</v>
      </c>
      <c r="I30" s="18">
        <f t="shared" si="2"/>
        <v>109</v>
      </c>
      <c r="J30" s="50">
        <f t="shared" si="3"/>
        <v>130.79999999999998</v>
      </c>
      <c r="K30" s="1"/>
      <c r="L30" s="1" t="s">
        <v>50</v>
      </c>
    </row>
    <row r="31" spans="1:14" x14ac:dyDescent="0.3">
      <c r="A31" s="51">
        <f t="shared" si="0"/>
        <v>24</v>
      </c>
      <c r="B31" s="3" t="s">
        <v>6</v>
      </c>
      <c r="C31" s="4">
        <v>45131</v>
      </c>
      <c r="D31" s="7" t="s">
        <v>24</v>
      </c>
      <c r="E31" s="39">
        <v>0.91666666666666663</v>
      </c>
      <c r="F31" s="7">
        <f>10+10+12+5+7+2+2+4+11+2+4+14</f>
        <v>83</v>
      </c>
      <c r="G31" s="7">
        <f>5+2</f>
        <v>7</v>
      </c>
      <c r="H31" s="8">
        <v>1</v>
      </c>
      <c r="I31" s="18">
        <f t="shared" si="2"/>
        <v>91</v>
      </c>
      <c r="J31" s="50">
        <f t="shared" si="3"/>
        <v>109.2</v>
      </c>
      <c r="K31" s="1"/>
      <c r="L31" s="1"/>
    </row>
    <row r="32" spans="1:14" x14ac:dyDescent="0.3">
      <c r="A32" s="51">
        <f t="shared" si="0"/>
        <v>25</v>
      </c>
      <c r="B32" s="3" t="s">
        <v>17</v>
      </c>
      <c r="C32" s="4">
        <v>45132</v>
      </c>
      <c r="D32" s="7" t="s">
        <v>24</v>
      </c>
      <c r="E32" s="39">
        <v>0.91666666666666663</v>
      </c>
      <c r="F32" s="7">
        <f>8+9+3+6+8+1+1+8+7+1+1+1+7+1</f>
        <v>62</v>
      </c>
      <c r="G32" s="7">
        <v>4</v>
      </c>
      <c r="H32" s="8"/>
      <c r="I32" s="18">
        <f t="shared" si="2"/>
        <v>66</v>
      </c>
      <c r="J32" s="50">
        <f t="shared" si="3"/>
        <v>79.2</v>
      </c>
      <c r="K32" s="1"/>
      <c r="L32" s="1"/>
    </row>
    <row r="33" spans="1:15" x14ac:dyDescent="0.3">
      <c r="A33" s="51">
        <f t="shared" si="0"/>
        <v>26</v>
      </c>
      <c r="B33" s="3" t="s">
        <v>16</v>
      </c>
      <c r="C33" s="4">
        <v>45133</v>
      </c>
      <c r="D33" s="7" t="s">
        <v>24</v>
      </c>
      <c r="E33" s="39">
        <v>0.91666666666666663</v>
      </c>
      <c r="F33" s="7">
        <f>5+5+5+5+5+5+12+1+12+6+12+11+3+12</f>
        <v>99</v>
      </c>
      <c r="G33" s="7">
        <f>2+2</f>
        <v>4</v>
      </c>
      <c r="H33" s="8">
        <f>2+2</f>
        <v>4</v>
      </c>
      <c r="I33" s="18">
        <f t="shared" si="2"/>
        <v>107</v>
      </c>
      <c r="J33" s="50">
        <f t="shared" si="3"/>
        <v>128.4</v>
      </c>
      <c r="K33" s="1"/>
      <c r="L33" s="1"/>
    </row>
    <row r="34" spans="1:15" x14ac:dyDescent="0.3">
      <c r="A34" s="51">
        <f t="shared" si="0"/>
        <v>27</v>
      </c>
      <c r="B34" s="3" t="s">
        <v>15</v>
      </c>
      <c r="C34" s="4">
        <v>45134</v>
      </c>
      <c r="D34" s="7" t="s">
        <v>24</v>
      </c>
      <c r="E34" s="39">
        <v>0.91666666666666663</v>
      </c>
      <c r="F34" s="7">
        <f>12+12+12+9+12+5+5+5+5+5+5+5+15</f>
        <v>107</v>
      </c>
      <c r="G34" s="7">
        <f>5+2+5+2</f>
        <v>14</v>
      </c>
      <c r="H34" s="8">
        <v>0</v>
      </c>
      <c r="I34" s="18">
        <f t="shared" si="2"/>
        <v>121</v>
      </c>
      <c r="J34" s="50">
        <f t="shared" si="3"/>
        <v>145.19999999999999</v>
      </c>
      <c r="K34" s="1"/>
      <c r="L34" s="1"/>
    </row>
    <row r="35" spans="1:15" x14ac:dyDescent="0.3">
      <c r="A35" s="51">
        <f t="shared" si="0"/>
        <v>28</v>
      </c>
      <c r="B35" s="3" t="s">
        <v>14</v>
      </c>
      <c r="C35" s="4">
        <v>45135</v>
      </c>
      <c r="D35" s="7" t="s">
        <v>24</v>
      </c>
      <c r="E35" s="39">
        <v>0.91666666666666663</v>
      </c>
      <c r="F35" s="7">
        <f>4+4+4+4+4+4+4+4+9+12+7+7+6+9</f>
        <v>82</v>
      </c>
      <c r="G35" s="7">
        <f>5+2+5+2</f>
        <v>14</v>
      </c>
      <c r="H35" s="8">
        <f>1+1+1+1</f>
        <v>4</v>
      </c>
      <c r="I35" s="18">
        <f t="shared" ref="I35:I37" si="4">F35+G35+H35</f>
        <v>100</v>
      </c>
      <c r="J35" s="50">
        <f t="shared" ref="J35:J37" si="5">I35*1.2</f>
        <v>120</v>
      </c>
      <c r="K35" s="1"/>
      <c r="L35" s="1"/>
    </row>
    <row r="36" spans="1:15" x14ac:dyDescent="0.3">
      <c r="A36" s="51">
        <f t="shared" si="0"/>
        <v>29</v>
      </c>
      <c r="B36" s="16" t="s">
        <v>13</v>
      </c>
      <c r="C36" s="4">
        <v>45136</v>
      </c>
      <c r="D36" s="7" t="s">
        <v>24</v>
      </c>
      <c r="E36" s="39">
        <v>0.91666666666666663</v>
      </c>
      <c r="F36" s="61">
        <f>11+10+12+10+6+6+6+6+6+6</f>
        <v>79</v>
      </c>
      <c r="G36" s="61">
        <f>5+2+5+2+5+2+5+3</f>
        <v>29</v>
      </c>
      <c r="H36" s="8"/>
      <c r="I36" s="18">
        <f t="shared" si="4"/>
        <v>108</v>
      </c>
      <c r="J36" s="50">
        <f t="shared" si="5"/>
        <v>129.6</v>
      </c>
      <c r="K36" s="1"/>
      <c r="L36" s="1"/>
    </row>
    <row r="37" spans="1:15" x14ac:dyDescent="0.3">
      <c r="A37" s="51">
        <f t="shared" si="0"/>
        <v>30</v>
      </c>
      <c r="B37" s="3" t="s">
        <v>12</v>
      </c>
      <c r="C37" s="4">
        <v>45137</v>
      </c>
      <c r="D37" s="7" t="s">
        <v>24</v>
      </c>
      <c r="E37" s="39">
        <v>0.91666666666666663</v>
      </c>
      <c r="F37" s="61">
        <f>8+11+8+18+6+6+18+6+6+18+6</f>
        <v>111</v>
      </c>
      <c r="G37" s="61">
        <f>2+2+5+2+5+2</f>
        <v>18</v>
      </c>
      <c r="H37" s="8"/>
      <c r="I37" s="18">
        <f t="shared" si="4"/>
        <v>129</v>
      </c>
      <c r="J37" s="50">
        <f t="shared" si="5"/>
        <v>154.79999999999998</v>
      </c>
      <c r="K37" s="1"/>
      <c r="L37" s="1"/>
    </row>
    <row r="38" spans="1:15" ht="15" thickBot="1" x14ac:dyDescent="0.35">
      <c r="A38" s="51">
        <f t="shared" si="0"/>
        <v>31</v>
      </c>
      <c r="B38" s="3" t="s">
        <v>6</v>
      </c>
      <c r="C38" s="4">
        <v>45138</v>
      </c>
      <c r="D38" s="7" t="s">
        <v>24</v>
      </c>
      <c r="E38" s="39">
        <v>0.91666666666666663</v>
      </c>
      <c r="F38" s="61">
        <f>6+5+12+6+6+6+6+6+16+6+6</f>
        <v>81</v>
      </c>
      <c r="G38" s="61">
        <f>5+3+5+3+5+2+5+2</f>
        <v>30</v>
      </c>
      <c r="H38" s="8">
        <v>4</v>
      </c>
      <c r="I38" s="46">
        <f t="shared" ref="I38" si="6">F38+G38+H38</f>
        <v>115</v>
      </c>
      <c r="J38" s="52">
        <f t="shared" ref="J38" si="7">I38*1.2</f>
        <v>138</v>
      </c>
      <c r="K38" s="1" t="s">
        <v>39</v>
      </c>
      <c r="L38" s="1" t="s">
        <v>40</v>
      </c>
      <c r="M38" t="s">
        <v>46</v>
      </c>
      <c r="N38" s="1" t="s">
        <v>41</v>
      </c>
    </row>
    <row r="39" spans="1:15" x14ac:dyDescent="0.3">
      <c r="A39" s="53" t="s">
        <v>49</v>
      </c>
      <c r="B39" s="47"/>
      <c r="C39" s="48"/>
      <c r="D39" s="47"/>
      <c r="E39" s="47"/>
      <c r="F39" s="45">
        <f>SUM(F8:F38)</f>
        <v>2466</v>
      </c>
      <c r="G39" s="45">
        <f>SUM(G8:G38)</f>
        <v>182</v>
      </c>
      <c r="H39" s="45">
        <f>SUM(H8:H38)</f>
        <v>31</v>
      </c>
      <c r="I39" s="45">
        <f>SUM(I8:I38)</f>
        <v>2679</v>
      </c>
      <c r="J39" s="54">
        <f>SUM(J8:J38)</f>
        <v>3214.7999999999997</v>
      </c>
      <c r="K39" s="40">
        <f>Sheet1!I25</f>
        <v>628.80000000000018</v>
      </c>
      <c r="L39" s="40">
        <f>K39+J39</f>
        <v>3843.6</v>
      </c>
      <c r="M39" s="44">
        <v>3843</v>
      </c>
      <c r="N39" s="44">
        <f>M39-L39</f>
        <v>-0.59999999999990905</v>
      </c>
    </row>
    <row r="40" spans="1:15" ht="15" thickBot="1" x14ac:dyDescent="0.35">
      <c r="A40" s="55" t="s">
        <v>48</v>
      </c>
      <c r="B40" s="56"/>
      <c r="C40" s="57"/>
      <c r="D40" s="58"/>
      <c r="E40" s="58"/>
      <c r="F40" s="59">
        <f>F39*1.2</f>
        <v>2959.2</v>
      </c>
      <c r="G40" s="59">
        <f>G39*1.2</f>
        <v>218.4</v>
      </c>
      <c r="H40" s="59">
        <f>H39*1.2</f>
        <v>37.199999999999996</v>
      </c>
      <c r="I40" s="59">
        <f>I39*1.2</f>
        <v>3214.7999999999997</v>
      </c>
      <c r="J40" s="60"/>
      <c r="N40" s="33">
        <f>N39/1.2</f>
        <v>-0.49999999999992423</v>
      </c>
    </row>
    <row r="41" spans="1:15" x14ac:dyDescent="0.3">
      <c r="C41" s="30"/>
      <c r="D41" s="1"/>
      <c r="E41" s="1"/>
      <c r="N41" s="33"/>
    </row>
    <row r="42" spans="1:15" x14ac:dyDescent="0.3">
      <c r="C42" s="30"/>
      <c r="D42" s="1"/>
      <c r="E42" s="1"/>
    </row>
    <row r="43" spans="1:15" x14ac:dyDescent="0.3">
      <c r="C43" s="30"/>
      <c r="D43" s="1"/>
      <c r="E43" s="1"/>
      <c r="O43" s="34"/>
    </row>
    <row r="44" spans="1:15" x14ac:dyDescent="0.3">
      <c r="C44" s="30"/>
      <c r="D44" s="1"/>
      <c r="E44" s="1"/>
    </row>
    <row r="45" spans="1:15" x14ac:dyDescent="0.3">
      <c r="C45" s="30"/>
      <c r="D45" s="1"/>
      <c r="E45" s="1"/>
    </row>
    <row r="46" spans="1:15" x14ac:dyDescent="0.3">
      <c r="C46" s="30"/>
      <c r="D46" s="1"/>
      <c r="E46" s="1"/>
    </row>
    <row r="47" spans="1:15" x14ac:dyDescent="0.3">
      <c r="C47" s="30"/>
      <c r="D47" s="1"/>
      <c r="E47" s="1"/>
    </row>
    <row r="48" spans="1:15" x14ac:dyDescent="0.3">
      <c r="C48" s="30"/>
      <c r="D48" s="1"/>
      <c r="E48" s="1"/>
    </row>
    <row r="49" spans="1:5" x14ac:dyDescent="0.3">
      <c r="C49" s="30"/>
      <c r="D49" s="1"/>
      <c r="E49" s="1"/>
    </row>
    <row r="50" spans="1:5" x14ac:dyDescent="0.3">
      <c r="C50" s="30"/>
      <c r="D50" s="1"/>
      <c r="E50" s="1"/>
    </row>
    <row r="51" spans="1:5" x14ac:dyDescent="0.3">
      <c r="A51" s="25"/>
      <c r="B51" s="25"/>
      <c r="C51" s="31"/>
      <c r="D51" s="25"/>
      <c r="E51" s="25"/>
    </row>
    <row r="52" spans="1:5" x14ac:dyDescent="0.3">
      <c r="C52" s="31"/>
    </row>
  </sheetData>
  <mergeCells count="9">
    <mergeCell ref="H6:H7"/>
    <mergeCell ref="I6:I7"/>
    <mergeCell ref="J6:J7"/>
    <mergeCell ref="G6:G7"/>
    <mergeCell ref="A6:A7"/>
    <mergeCell ref="B6:B7"/>
    <mergeCell ref="C6:C7"/>
    <mergeCell ref="D6:E6"/>
    <mergeCell ref="F6:F7"/>
  </mergeCells>
  <printOptions horizontalCentered="1"/>
  <pageMargins left="0.51181102362204722" right="0.31496062992125984" top="0.55118110236220474" bottom="0.35433070866141736" header="0.31496062992125984" footer="0.31496062992125984"/>
  <pageSetup paperSize="9" scale="8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863EE-E5DF-430E-B94E-67E0D8673D44}">
  <dimension ref="A1:R52"/>
  <sheetViews>
    <sheetView tabSelected="1" view="pageBreakPreview" zoomScale="90" zoomScaleNormal="100" zoomScaleSheetLayoutView="90" workbookViewId="0">
      <selection activeCell="A4" sqref="A4"/>
    </sheetView>
  </sheetViews>
  <sheetFormatPr defaultRowHeight="14.4" x14ac:dyDescent="0.3"/>
  <cols>
    <col min="1" max="1" width="4.6640625" customWidth="1"/>
    <col min="2" max="2" width="10.5546875" bestFit="1" customWidth="1"/>
    <col min="3" max="3" width="12.109375" customWidth="1"/>
    <col min="4" max="5" width="8.33203125" customWidth="1"/>
    <col min="6" max="11" width="12.5546875" customWidth="1"/>
    <col min="12" max="12" width="16.5546875" customWidth="1"/>
    <col min="13" max="13" width="12.5546875" customWidth="1"/>
    <col min="14" max="14" width="15.109375" customWidth="1"/>
    <col min="15" max="15" width="2.88671875" customWidth="1"/>
    <col min="16" max="16" width="12" customWidth="1"/>
    <col min="17" max="17" width="17.6640625" customWidth="1"/>
    <col min="18" max="18" width="12.33203125" bestFit="1" customWidth="1"/>
  </cols>
  <sheetData>
    <row r="1" spans="1:18" ht="18" x14ac:dyDescent="0.35">
      <c r="A1" s="26" t="s">
        <v>45</v>
      </c>
    </row>
    <row r="2" spans="1:18" ht="15.6" x14ac:dyDescent="0.3">
      <c r="A2" s="27" t="s">
        <v>55</v>
      </c>
    </row>
    <row r="3" spans="1:18" ht="15.6" x14ac:dyDescent="0.3">
      <c r="A3" s="27"/>
    </row>
    <row r="4" spans="1:18" x14ac:dyDescent="0.3">
      <c r="A4" s="25" t="s">
        <v>8</v>
      </c>
      <c r="C4" s="25">
        <v>1200</v>
      </c>
      <c r="D4" s="25" t="s">
        <v>9</v>
      </c>
      <c r="M4" s="25" t="s">
        <v>61</v>
      </c>
      <c r="O4" s="25"/>
      <c r="P4" s="25" t="s">
        <v>72</v>
      </c>
    </row>
    <row r="5" spans="1:18" ht="15" thickBot="1" x14ac:dyDescent="0.35"/>
    <row r="6" spans="1:18" ht="29.4" customHeight="1" x14ac:dyDescent="0.3">
      <c r="A6" s="89" t="s">
        <v>0</v>
      </c>
      <c r="B6" s="91" t="s">
        <v>1</v>
      </c>
      <c r="C6" s="91" t="s">
        <v>2</v>
      </c>
      <c r="D6" s="93" t="s">
        <v>42</v>
      </c>
      <c r="E6" s="93"/>
      <c r="F6" s="67" t="s">
        <v>38</v>
      </c>
      <c r="G6" s="67" t="s">
        <v>52</v>
      </c>
      <c r="H6" s="67" t="s">
        <v>56</v>
      </c>
      <c r="I6" s="68" t="s">
        <v>37</v>
      </c>
      <c r="J6" s="67" t="s">
        <v>43</v>
      </c>
      <c r="K6" s="68" t="s">
        <v>29</v>
      </c>
      <c r="L6" s="67" t="s">
        <v>43</v>
      </c>
      <c r="M6" s="66" t="s">
        <v>29</v>
      </c>
      <c r="N6" s="69" t="s">
        <v>29</v>
      </c>
      <c r="P6" s="91" t="s">
        <v>2</v>
      </c>
      <c r="Q6" s="67" t="s">
        <v>43</v>
      </c>
      <c r="R6" s="66" t="s">
        <v>29</v>
      </c>
    </row>
    <row r="7" spans="1:18" ht="15" customHeight="1" thickBot="1" x14ac:dyDescent="0.35">
      <c r="A7" s="90"/>
      <c r="B7" s="92"/>
      <c r="C7" s="92"/>
      <c r="D7" s="41" t="s">
        <v>3</v>
      </c>
      <c r="E7" s="41" t="s">
        <v>4</v>
      </c>
      <c r="F7" s="94" t="s">
        <v>62</v>
      </c>
      <c r="G7" s="95"/>
      <c r="H7" s="95"/>
      <c r="I7" s="95"/>
      <c r="J7" s="71"/>
      <c r="K7" s="73" t="s">
        <v>64</v>
      </c>
      <c r="L7" s="72" t="s">
        <v>63</v>
      </c>
      <c r="M7" s="73" t="s">
        <v>66</v>
      </c>
      <c r="N7" s="70" t="s">
        <v>65</v>
      </c>
      <c r="P7" s="92"/>
      <c r="Q7" s="72" t="s">
        <v>70</v>
      </c>
      <c r="R7" s="73"/>
    </row>
    <row r="8" spans="1:18" x14ac:dyDescent="0.3">
      <c r="A8" s="49">
        <v>1</v>
      </c>
      <c r="B8" s="3" t="s">
        <v>17</v>
      </c>
      <c r="C8" s="28">
        <v>45139</v>
      </c>
      <c r="D8" s="18" t="s">
        <v>26</v>
      </c>
      <c r="E8" s="39">
        <v>0.91180555555555554</v>
      </c>
      <c r="F8" s="18">
        <f>6+6+6+6+6+6+6+6+8+13+8+13+12+13</f>
        <v>115</v>
      </c>
      <c r="G8" s="18">
        <f>2+2</f>
        <v>4</v>
      </c>
      <c r="H8" s="42">
        <f>5+3+5+3</f>
        <v>16</v>
      </c>
      <c r="I8" s="42"/>
      <c r="J8" s="18">
        <f>F8+G8+H8+I8</f>
        <v>135</v>
      </c>
      <c r="K8" s="50">
        <f>J8*1.2</f>
        <v>162</v>
      </c>
      <c r="L8" s="18"/>
      <c r="M8" s="50">
        <f>L8*4400</f>
        <v>0</v>
      </c>
      <c r="N8" s="50">
        <f>K8+M8</f>
        <v>162</v>
      </c>
      <c r="P8" s="28">
        <v>45139</v>
      </c>
      <c r="Q8" s="18"/>
      <c r="R8" s="50">
        <f>Q8*4400</f>
        <v>0</v>
      </c>
    </row>
    <row r="9" spans="1:18" x14ac:dyDescent="0.3">
      <c r="A9" s="51">
        <f t="shared" ref="A9:A38" si="0">A8+1</f>
        <v>2</v>
      </c>
      <c r="B9" s="3" t="s">
        <v>16</v>
      </c>
      <c r="C9" s="28">
        <v>45140</v>
      </c>
      <c r="D9" s="7" t="s">
        <v>26</v>
      </c>
      <c r="E9" s="39">
        <v>0.90486111111111101</v>
      </c>
      <c r="F9" s="7">
        <f>6+4+4+12+13+19+6+6+6+6+6+6+13</f>
        <v>107</v>
      </c>
      <c r="G9" s="7">
        <f>4+5</f>
        <v>9</v>
      </c>
      <c r="H9" s="8">
        <f>5+3+5+3</f>
        <v>16</v>
      </c>
      <c r="I9" s="8">
        <v>4</v>
      </c>
      <c r="J9" s="18">
        <f t="shared" ref="J9:J38" si="1">F9+G9+H9+I9</f>
        <v>136</v>
      </c>
      <c r="K9" s="50">
        <f t="shared" ref="K9:K38" si="2">J9*1.2</f>
        <v>163.19999999999999</v>
      </c>
      <c r="L9" s="18"/>
      <c r="M9" s="50">
        <f t="shared" ref="M9:M38" si="3">L9*4400</f>
        <v>0</v>
      </c>
      <c r="N9" s="50">
        <f t="shared" ref="N9:N38" si="4">K9+M9</f>
        <v>163.19999999999999</v>
      </c>
      <c r="P9" s="28">
        <v>45140</v>
      </c>
      <c r="Q9" s="18"/>
      <c r="R9" s="50">
        <f t="shared" ref="R9:R38" si="5">Q9*4400</f>
        <v>0</v>
      </c>
    </row>
    <row r="10" spans="1:18" x14ac:dyDescent="0.3">
      <c r="A10" s="51">
        <f t="shared" si="0"/>
        <v>3</v>
      </c>
      <c r="B10" s="3" t="s">
        <v>15</v>
      </c>
      <c r="C10" s="28">
        <v>45141</v>
      </c>
      <c r="D10" s="7" t="s">
        <v>26</v>
      </c>
      <c r="E10" s="39">
        <v>0.90277777777777779</v>
      </c>
      <c r="F10" s="7">
        <f>19+3+7+8+7+7+7+7+7+7+11+14+8+14+3+3</f>
        <v>132</v>
      </c>
      <c r="G10" s="7">
        <f>1+1</f>
        <v>2</v>
      </c>
      <c r="H10" s="8">
        <f>4+3+4</f>
        <v>11</v>
      </c>
      <c r="I10" s="8">
        <f>1+1+1+1</f>
        <v>4</v>
      </c>
      <c r="J10" s="18">
        <f t="shared" si="1"/>
        <v>149</v>
      </c>
      <c r="K10" s="50">
        <f t="shared" si="2"/>
        <v>178.79999999999998</v>
      </c>
      <c r="L10" s="18"/>
      <c r="M10" s="50">
        <f t="shared" si="3"/>
        <v>0</v>
      </c>
      <c r="N10" s="50">
        <f t="shared" si="4"/>
        <v>178.79999999999998</v>
      </c>
      <c r="P10" s="28">
        <v>45141</v>
      </c>
      <c r="Q10" s="18"/>
      <c r="R10" s="50">
        <f t="shared" si="5"/>
        <v>0</v>
      </c>
    </row>
    <row r="11" spans="1:18" x14ac:dyDescent="0.3">
      <c r="A11" s="51">
        <f t="shared" si="0"/>
        <v>4</v>
      </c>
      <c r="B11" s="3" t="s">
        <v>14</v>
      </c>
      <c r="C11" s="28">
        <v>45142</v>
      </c>
      <c r="D11" s="7" t="s">
        <v>26</v>
      </c>
      <c r="E11" s="39">
        <v>0.87361111111111101</v>
      </c>
      <c r="F11" s="7">
        <f>19+3+19+3+14+7+7+7+8+7+7+8+14</f>
        <v>123</v>
      </c>
      <c r="G11" s="7">
        <f>3+3</f>
        <v>6</v>
      </c>
      <c r="H11" s="8">
        <f>5+5+1</f>
        <v>11</v>
      </c>
      <c r="I11" s="8"/>
      <c r="J11" s="18">
        <f t="shared" si="1"/>
        <v>140</v>
      </c>
      <c r="K11" s="50">
        <f t="shared" si="2"/>
        <v>168</v>
      </c>
      <c r="L11" s="18"/>
      <c r="M11" s="50">
        <f t="shared" si="3"/>
        <v>0</v>
      </c>
      <c r="N11" s="50">
        <f t="shared" si="4"/>
        <v>168</v>
      </c>
      <c r="P11" s="28">
        <v>45142</v>
      </c>
      <c r="Q11" s="18"/>
      <c r="R11" s="50">
        <f t="shared" si="5"/>
        <v>0</v>
      </c>
    </row>
    <row r="12" spans="1:18" x14ac:dyDescent="0.3">
      <c r="A12" s="51">
        <f t="shared" si="0"/>
        <v>5</v>
      </c>
      <c r="B12" s="3" t="s">
        <v>13</v>
      </c>
      <c r="C12" s="28">
        <v>45143</v>
      </c>
      <c r="D12" s="7" t="s">
        <v>26</v>
      </c>
      <c r="E12" s="39">
        <v>0.90416666666666667</v>
      </c>
      <c r="F12" s="7">
        <f>13+4+16+3+3+2+1+1+2+16+12+4</f>
        <v>77</v>
      </c>
      <c r="G12" s="7">
        <f>3+3</f>
        <v>6</v>
      </c>
      <c r="H12" s="8">
        <f>5+2+5+2</f>
        <v>14</v>
      </c>
      <c r="I12" s="8"/>
      <c r="J12" s="18">
        <f t="shared" si="1"/>
        <v>97</v>
      </c>
      <c r="K12" s="50">
        <f t="shared" si="2"/>
        <v>116.39999999999999</v>
      </c>
      <c r="L12" s="18"/>
      <c r="M12" s="50">
        <f t="shared" si="3"/>
        <v>0</v>
      </c>
      <c r="N12" s="50">
        <f t="shared" si="4"/>
        <v>116.39999999999999</v>
      </c>
      <c r="P12" s="28">
        <v>45143</v>
      </c>
      <c r="Q12" s="18"/>
      <c r="R12" s="50">
        <f t="shared" si="5"/>
        <v>0</v>
      </c>
    </row>
    <row r="13" spans="1:18" x14ac:dyDescent="0.3">
      <c r="A13" s="51">
        <f t="shared" si="0"/>
        <v>6</v>
      </c>
      <c r="B13" s="3" t="s">
        <v>12</v>
      </c>
      <c r="C13" s="28">
        <v>45144</v>
      </c>
      <c r="D13" s="7" t="s">
        <v>26</v>
      </c>
      <c r="E13" s="39">
        <v>0.73472222222222217</v>
      </c>
      <c r="F13" s="7">
        <f>6+1+6+5+5+5+4</f>
        <v>32</v>
      </c>
      <c r="G13" s="7">
        <v>1</v>
      </c>
      <c r="H13" s="8">
        <f>2+2+2+5+1+5+1</f>
        <v>18</v>
      </c>
      <c r="I13" s="8"/>
      <c r="J13" s="18">
        <f t="shared" si="1"/>
        <v>51</v>
      </c>
      <c r="K13" s="50">
        <f t="shared" si="2"/>
        <v>61.199999999999996</v>
      </c>
      <c r="L13" s="18"/>
      <c r="M13" s="50">
        <f t="shared" si="3"/>
        <v>0</v>
      </c>
      <c r="N13" s="50">
        <f t="shared" si="4"/>
        <v>61.199999999999996</v>
      </c>
      <c r="P13" s="28">
        <v>45144</v>
      </c>
      <c r="Q13" s="18"/>
      <c r="R13" s="50">
        <f t="shared" si="5"/>
        <v>0</v>
      </c>
    </row>
    <row r="14" spans="1:18" x14ac:dyDescent="0.3">
      <c r="A14" s="51">
        <f t="shared" si="0"/>
        <v>7</v>
      </c>
      <c r="B14" s="3" t="s">
        <v>6</v>
      </c>
      <c r="C14" s="28">
        <v>45145</v>
      </c>
      <c r="D14" s="7" t="s">
        <v>26</v>
      </c>
      <c r="E14" s="39">
        <v>0.90277777777777779</v>
      </c>
      <c r="F14" s="7">
        <f>4+9+14+11+7+6+7+8+8+14</f>
        <v>88</v>
      </c>
      <c r="G14" s="7">
        <f>5+2+4</f>
        <v>11</v>
      </c>
      <c r="H14" s="8">
        <f>5+2+5+2</f>
        <v>14</v>
      </c>
      <c r="I14" s="8">
        <f>1+1</f>
        <v>2</v>
      </c>
      <c r="J14" s="18">
        <f t="shared" si="1"/>
        <v>115</v>
      </c>
      <c r="K14" s="50">
        <f t="shared" si="2"/>
        <v>138</v>
      </c>
      <c r="L14" s="18"/>
      <c r="M14" s="50">
        <f t="shared" si="3"/>
        <v>0</v>
      </c>
      <c r="N14" s="50">
        <f t="shared" si="4"/>
        <v>138</v>
      </c>
      <c r="P14" s="28">
        <v>45145</v>
      </c>
      <c r="Q14" s="18"/>
      <c r="R14" s="50">
        <f t="shared" si="5"/>
        <v>0</v>
      </c>
    </row>
    <row r="15" spans="1:18" x14ac:dyDescent="0.3">
      <c r="A15" s="51">
        <f t="shared" si="0"/>
        <v>8</v>
      </c>
      <c r="B15" s="3" t="s">
        <v>17</v>
      </c>
      <c r="C15" s="28">
        <v>45146</v>
      </c>
      <c r="D15" s="7" t="s">
        <v>26</v>
      </c>
      <c r="E15" s="39">
        <v>0.8979166666666667</v>
      </c>
      <c r="F15" s="7">
        <f>14+11+14+14+11+8+14+7+7+8+7</f>
        <v>115</v>
      </c>
      <c r="G15" s="7">
        <f>2+2</f>
        <v>4</v>
      </c>
      <c r="H15" s="8">
        <f>5+3+5+3</f>
        <v>16</v>
      </c>
      <c r="I15" s="8"/>
      <c r="J15" s="18">
        <f t="shared" si="1"/>
        <v>135</v>
      </c>
      <c r="K15" s="50">
        <f t="shared" si="2"/>
        <v>162</v>
      </c>
      <c r="L15" s="18"/>
      <c r="M15" s="50">
        <f t="shared" si="3"/>
        <v>0</v>
      </c>
      <c r="N15" s="50">
        <f t="shared" si="4"/>
        <v>162</v>
      </c>
      <c r="P15" s="28">
        <v>45146</v>
      </c>
      <c r="Q15" s="18"/>
      <c r="R15" s="50">
        <f t="shared" si="5"/>
        <v>0</v>
      </c>
    </row>
    <row r="16" spans="1:18" x14ac:dyDescent="0.3">
      <c r="A16" s="51">
        <f t="shared" si="0"/>
        <v>9</v>
      </c>
      <c r="B16" s="3" t="s">
        <v>16</v>
      </c>
      <c r="C16" s="28">
        <v>45147</v>
      </c>
      <c r="D16" s="7" t="s">
        <v>26</v>
      </c>
      <c r="E16" s="39">
        <v>0.89722222222222225</v>
      </c>
      <c r="F16" s="7">
        <f>7+14+7+14+7+14+14+7+8+7+7+7</f>
        <v>113</v>
      </c>
      <c r="G16" s="7">
        <f>3+3</f>
        <v>6</v>
      </c>
      <c r="H16" s="8">
        <f>5+1+5+1</f>
        <v>12</v>
      </c>
      <c r="I16" s="8"/>
      <c r="J16" s="18">
        <f t="shared" si="1"/>
        <v>131</v>
      </c>
      <c r="K16" s="50">
        <f t="shared" si="2"/>
        <v>157.19999999999999</v>
      </c>
      <c r="L16" s="18"/>
      <c r="M16" s="50">
        <f t="shared" si="3"/>
        <v>0</v>
      </c>
      <c r="N16" s="50">
        <f t="shared" si="4"/>
        <v>157.19999999999999</v>
      </c>
      <c r="P16" s="28">
        <v>45147</v>
      </c>
      <c r="Q16" s="18"/>
      <c r="R16" s="50">
        <f t="shared" si="5"/>
        <v>0</v>
      </c>
    </row>
    <row r="17" spans="1:18" x14ac:dyDescent="0.3">
      <c r="A17" s="51">
        <f t="shared" si="0"/>
        <v>10</v>
      </c>
      <c r="B17" s="3" t="s">
        <v>15</v>
      </c>
      <c r="C17" s="28">
        <v>45148</v>
      </c>
      <c r="D17" s="7" t="s">
        <v>26</v>
      </c>
      <c r="E17" s="39">
        <v>0.90069444444444446</v>
      </c>
      <c r="F17" s="7">
        <f>9+9+8+5+5+9+7+7+7+7+13</f>
        <v>86</v>
      </c>
      <c r="G17" s="7">
        <f>3+3</f>
        <v>6</v>
      </c>
      <c r="H17" s="8">
        <f>5+4+4+1</f>
        <v>14</v>
      </c>
      <c r="I17" s="8">
        <f>1+1</f>
        <v>2</v>
      </c>
      <c r="J17" s="18">
        <f t="shared" si="1"/>
        <v>108</v>
      </c>
      <c r="K17" s="50">
        <f t="shared" si="2"/>
        <v>129.6</v>
      </c>
      <c r="L17" s="18"/>
      <c r="M17" s="50">
        <f t="shared" si="3"/>
        <v>0</v>
      </c>
      <c r="N17" s="50">
        <f t="shared" si="4"/>
        <v>129.6</v>
      </c>
      <c r="P17" s="28">
        <v>45148</v>
      </c>
      <c r="Q17" s="18"/>
      <c r="R17" s="50">
        <f t="shared" si="5"/>
        <v>0</v>
      </c>
    </row>
    <row r="18" spans="1:18" x14ac:dyDescent="0.3">
      <c r="A18" s="51">
        <f t="shared" si="0"/>
        <v>11</v>
      </c>
      <c r="B18" s="3" t="s">
        <v>14</v>
      </c>
      <c r="C18" s="28">
        <v>45149</v>
      </c>
      <c r="D18" s="7" t="s">
        <v>26</v>
      </c>
      <c r="E18" s="39">
        <v>0.89930555555555547</v>
      </c>
      <c r="F18" s="7">
        <f>14+14+13+14+7+8+7+6+6+6</f>
        <v>95</v>
      </c>
      <c r="G18" s="7">
        <f>5+2</f>
        <v>7</v>
      </c>
      <c r="H18" s="8">
        <f>5+3+5+5</f>
        <v>18</v>
      </c>
      <c r="I18" s="8">
        <f>2+2</f>
        <v>4</v>
      </c>
      <c r="J18" s="18">
        <f t="shared" si="1"/>
        <v>124</v>
      </c>
      <c r="K18" s="50">
        <f t="shared" si="2"/>
        <v>148.79999999999998</v>
      </c>
      <c r="L18" s="18"/>
      <c r="M18" s="50">
        <f t="shared" si="3"/>
        <v>0</v>
      </c>
      <c r="N18" s="50">
        <f t="shared" si="4"/>
        <v>148.79999999999998</v>
      </c>
      <c r="P18" s="28">
        <v>45149</v>
      </c>
      <c r="Q18" s="18"/>
      <c r="R18" s="50">
        <f t="shared" si="5"/>
        <v>0</v>
      </c>
    </row>
    <row r="19" spans="1:18" x14ac:dyDescent="0.3">
      <c r="A19" s="51">
        <f t="shared" si="0"/>
        <v>12</v>
      </c>
      <c r="B19" s="16" t="s">
        <v>13</v>
      </c>
      <c r="C19" s="28">
        <v>45150</v>
      </c>
      <c r="D19" s="39">
        <v>0.32916666666666666</v>
      </c>
      <c r="E19" s="39">
        <v>0.81111111111111101</v>
      </c>
      <c r="F19" s="7">
        <f>9+9+14+14+12+14+2+1+1+2+1+2</f>
        <v>81</v>
      </c>
      <c r="G19" s="7">
        <f>3+3</f>
        <v>6</v>
      </c>
      <c r="H19" s="8">
        <f>5+3+5+3</f>
        <v>16</v>
      </c>
      <c r="I19" s="8"/>
      <c r="J19" s="18">
        <f t="shared" si="1"/>
        <v>103</v>
      </c>
      <c r="K19" s="50">
        <f t="shared" si="2"/>
        <v>123.6</v>
      </c>
      <c r="L19" s="18"/>
      <c r="M19" s="50">
        <f t="shared" si="3"/>
        <v>0</v>
      </c>
      <c r="N19" s="50">
        <f t="shared" si="4"/>
        <v>123.6</v>
      </c>
      <c r="P19" s="28">
        <v>45150</v>
      </c>
      <c r="Q19" s="18"/>
      <c r="R19" s="50">
        <f t="shared" si="5"/>
        <v>0</v>
      </c>
    </row>
    <row r="20" spans="1:18" x14ac:dyDescent="0.3">
      <c r="A20" s="51">
        <f t="shared" si="0"/>
        <v>13</v>
      </c>
      <c r="B20" s="3" t="s">
        <v>12</v>
      </c>
      <c r="C20" s="28">
        <v>45151</v>
      </c>
      <c r="D20" s="39">
        <v>0.58750000000000002</v>
      </c>
      <c r="E20" s="39">
        <v>0.88541666666666663</v>
      </c>
      <c r="F20" s="7">
        <f>6+7+6+7+2+7+7+6+5</f>
        <v>53</v>
      </c>
      <c r="G20" s="7">
        <f>5</f>
        <v>5</v>
      </c>
      <c r="H20" s="8">
        <f>2+2</f>
        <v>4</v>
      </c>
      <c r="I20" s="8"/>
      <c r="J20" s="18">
        <f t="shared" si="1"/>
        <v>62</v>
      </c>
      <c r="K20" s="50">
        <f t="shared" si="2"/>
        <v>74.399999999999991</v>
      </c>
      <c r="L20" s="18"/>
      <c r="M20" s="50">
        <f t="shared" si="3"/>
        <v>0</v>
      </c>
      <c r="N20" s="50">
        <f t="shared" si="4"/>
        <v>74.399999999999991</v>
      </c>
      <c r="P20" s="28">
        <v>45151</v>
      </c>
      <c r="Q20" s="18"/>
      <c r="R20" s="50">
        <f t="shared" si="5"/>
        <v>0</v>
      </c>
    </row>
    <row r="21" spans="1:18" x14ac:dyDescent="0.3">
      <c r="A21" s="51">
        <f t="shared" si="0"/>
        <v>14</v>
      </c>
      <c r="B21" s="3" t="s">
        <v>6</v>
      </c>
      <c r="C21" s="28">
        <v>45152</v>
      </c>
      <c r="D21" s="7" t="s">
        <v>26</v>
      </c>
      <c r="E21" s="39">
        <v>0.87916666666666676</v>
      </c>
      <c r="F21" s="7">
        <f>6+14+8+7+13+7+7+7+7+18+14</f>
        <v>108</v>
      </c>
      <c r="G21" s="7">
        <f>5+1</f>
        <v>6</v>
      </c>
      <c r="H21" s="8">
        <f>5+2+5+2</f>
        <v>14</v>
      </c>
      <c r="I21" s="8"/>
      <c r="J21" s="18">
        <f t="shared" si="1"/>
        <v>128</v>
      </c>
      <c r="K21" s="50">
        <f t="shared" si="2"/>
        <v>153.6</v>
      </c>
      <c r="L21" s="18"/>
      <c r="M21" s="50">
        <f t="shared" si="3"/>
        <v>0</v>
      </c>
      <c r="N21" s="50">
        <f t="shared" si="4"/>
        <v>153.6</v>
      </c>
      <c r="P21" s="28">
        <v>45152</v>
      </c>
      <c r="Q21" s="18"/>
      <c r="R21" s="50">
        <f t="shared" si="5"/>
        <v>0</v>
      </c>
    </row>
    <row r="22" spans="1:18" x14ac:dyDescent="0.3">
      <c r="A22" s="49">
        <f t="shared" si="0"/>
        <v>15</v>
      </c>
      <c r="B22" s="3" t="s">
        <v>17</v>
      </c>
      <c r="C22" s="28">
        <v>45153</v>
      </c>
      <c r="D22" s="38">
        <v>0.33888888888888885</v>
      </c>
      <c r="E22" s="39">
        <v>0.91388888888888886</v>
      </c>
      <c r="F22" s="7">
        <f>6+7+4+4+13+7+7+6+6+19+7+4+6</f>
        <v>96</v>
      </c>
      <c r="G22" s="7">
        <f>2</f>
        <v>2</v>
      </c>
      <c r="H22" s="8">
        <f>4+5+2</f>
        <v>11</v>
      </c>
      <c r="I22" s="8">
        <f>3+2</f>
        <v>5</v>
      </c>
      <c r="J22" s="18">
        <f t="shared" si="1"/>
        <v>114</v>
      </c>
      <c r="K22" s="50">
        <f t="shared" si="2"/>
        <v>136.79999999999998</v>
      </c>
      <c r="L22" s="18"/>
      <c r="M22" s="50">
        <f t="shared" si="3"/>
        <v>0</v>
      </c>
      <c r="N22" s="50">
        <f t="shared" si="4"/>
        <v>136.79999999999998</v>
      </c>
      <c r="P22" s="28">
        <v>45153</v>
      </c>
      <c r="Q22" s="18"/>
      <c r="R22" s="50">
        <f t="shared" si="5"/>
        <v>0</v>
      </c>
    </row>
    <row r="23" spans="1:18" x14ac:dyDescent="0.3">
      <c r="A23" s="51">
        <f t="shared" si="0"/>
        <v>16</v>
      </c>
      <c r="B23" s="3" t="s">
        <v>16</v>
      </c>
      <c r="C23" s="28">
        <v>45154</v>
      </c>
      <c r="D23" s="7" t="s">
        <v>26</v>
      </c>
      <c r="E23" s="39">
        <v>0.89583333333333337</v>
      </c>
      <c r="F23" s="7">
        <f>6+6+5+6+6+11+13+14+5+12+2</f>
        <v>86</v>
      </c>
      <c r="G23" s="7">
        <v>5</v>
      </c>
      <c r="H23" s="8">
        <f>7+7</f>
        <v>14</v>
      </c>
      <c r="I23" s="8"/>
      <c r="J23" s="18">
        <f t="shared" si="1"/>
        <v>105</v>
      </c>
      <c r="K23" s="50">
        <f t="shared" si="2"/>
        <v>126</v>
      </c>
      <c r="L23" s="18"/>
      <c r="M23" s="50">
        <f t="shared" si="3"/>
        <v>0</v>
      </c>
      <c r="N23" s="97">
        <f t="shared" si="4"/>
        <v>126</v>
      </c>
      <c r="P23" s="28">
        <v>45154</v>
      </c>
      <c r="Q23" s="99">
        <v>5</v>
      </c>
      <c r="R23" s="100">
        <f>Q23*20</f>
        <v>100</v>
      </c>
    </row>
    <row r="24" spans="1:18" x14ac:dyDescent="0.3">
      <c r="A24" s="51">
        <f t="shared" si="0"/>
        <v>17</v>
      </c>
      <c r="B24" s="3" t="s">
        <v>15</v>
      </c>
      <c r="C24" s="28">
        <v>45155</v>
      </c>
      <c r="D24" s="7" t="s">
        <v>26</v>
      </c>
      <c r="E24" s="39">
        <v>0.8881944444444444</v>
      </c>
      <c r="F24" s="7">
        <f>4+5+4+4+3+4+4+4</f>
        <v>32</v>
      </c>
      <c r="G24" s="7">
        <f>2+2</f>
        <v>4</v>
      </c>
      <c r="H24" s="8">
        <f>4+2+2+2+3</f>
        <v>13</v>
      </c>
      <c r="I24" s="8"/>
      <c r="J24" s="18">
        <f t="shared" si="1"/>
        <v>49</v>
      </c>
      <c r="K24" s="50">
        <f t="shared" si="2"/>
        <v>58.8</v>
      </c>
      <c r="L24" s="18"/>
      <c r="M24" s="50">
        <f t="shared" si="3"/>
        <v>0</v>
      </c>
      <c r="N24" s="97">
        <f t="shared" si="4"/>
        <v>58.8</v>
      </c>
      <c r="P24" s="28">
        <v>45155</v>
      </c>
      <c r="Q24" s="99">
        <v>8</v>
      </c>
      <c r="R24" s="100">
        <f t="shared" ref="R24:R31" si="6">Q24*20</f>
        <v>160</v>
      </c>
    </row>
    <row r="25" spans="1:18" x14ac:dyDescent="0.3">
      <c r="A25" s="51">
        <f t="shared" si="0"/>
        <v>18</v>
      </c>
      <c r="B25" s="3" t="s">
        <v>14</v>
      </c>
      <c r="C25" s="28">
        <v>45156</v>
      </c>
      <c r="D25" s="7" t="s">
        <v>26</v>
      </c>
      <c r="E25" s="39">
        <v>0.89583333333333337</v>
      </c>
      <c r="F25" s="7">
        <f>3+3+3+3+2+3+3+3+8+8</f>
        <v>39</v>
      </c>
      <c r="G25" s="7">
        <f>4+3+1+5</f>
        <v>13</v>
      </c>
      <c r="H25" s="8">
        <f>5+5+5</f>
        <v>15</v>
      </c>
      <c r="I25" s="8"/>
      <c r="J25" s="18">
        <f t="shared" si="1"/>
        <v>67</v>
      </c>
      <c r="K25" s="50">
        <f t="shared" si="2"/>
        <v>80.399999999999991</v>
      </c>
      <c r="L25" s="18"/>
      <c r="M25" s="50">
        <f t="shared" si="3"/>
        <v>0</v>
      </c>
      <c r="N25" s="97">
        <f t="shared" si="4"/>
        <v>80.399999999999991</v>
      </c>
      <c r="P25" s="28">
        <v>45156</v>
      </c>
      <c r="Q25" s="99">
        <v>7</v>
      </c>
      <c r="R25" s="100">
        <f t="shared" si="6"/>
        <v>140</v>
      </c>
    </row>
    <row r="26" spans="1:18" x14ac:dyDescent="0.3">
      <c r="A26" s="51">
        <f t="shared" si="0"/>
        <v>19</v>
      </c>
      <c r="B26" s="16" t="s">
        <v>13</v>
      </c>
      <c r="C26" s="28">
        <v>45157</v>
      </c>
      <c r="D26" s="7" t="s">
        <v>57</v>
      </c>
      <c r="E26" s="39">
        <v>0.9375</v>
      </c>
      <c r="F26" s="7">
        <f>5+6+9+9+2+6+4+3+3+3+1</f>
        <v>51</v>
      </c>
      <c r="G26" s="7">
        <f>3+3+1</f>
        <v>7</v>
      </c>
      <c r="H26" s="8">
        <f>7+6+6</f>
        <v>19</v>
      </c>
      <c r="I26" s="8"/>
      <c r="J26" s="18">
        <f t="shared" si="1"/>
        <v>77</v>
      </c>
      <c r="K26" s="50">
        <f t="shared" si="2"/>
        <v>92.399999999999991</v>
      </c>
      <c r="L26" s="18"/>
      <c r="M26" s="50">
        <f t="shared" si="3"/>
        <v>0</v>
      </c>
      <c r="N26" s="98">
        <f t="shared" si="4"/>
        <v>92.399999999999991</v>
      </c>
      <c r="P26" s="28">
        <v>45157</v>
      </c>
      <c r="Q26" s="99">
        <v>8</v>
      </c>
      <c r="R26" s="100">
        <f t="shared" si="6"/>
        <v>160</v>
      </c>
    </row>
    <row r="27" spans="1:18" x14ac:dyDescent="0.3">
      <c r="A27" s="51">
        <f t="shared" si="0"/>
        <v>20</v>
      </c>
      <c r="B27" s="3" t="s">
        <v>12</v>
      </c>
      <c r="C27" s="28">
        <v>45158</v>
      </c>
      <c r="D27" s="7" t="s">
        <v>31</v>
      </c>
      <c r="E27" s="39">
        <v>0.97916666666666696</v>
      </c>
      <c r="F27" s="7">
        <f>3+2+2+2+2+2+3+2+2+7+7+7+7+7+2+7+4</f>
        <v>68</v>
      </c>
      <c r="G27" s="7"/>
      <c r="H27" s="8">
        <f>3+5</f>
        <v>8</v>
      </c>
      <c r="I27" s="8"/>
      <c r="J27" s="18">
        <f t="shared" si="1"/>
        <v>76</v>
      </c>
      <c r="K27" s="50">
        <f t="shared" si="2"/>
        <v>91.2</v>
      </c>
      <c r="L27" s="18">
        <f>2+1+2+1</f>
        <v>6</v>
      </c>
      <c r="M27" s="76">
        <f>L27*4.4</f>
        <v>26.400000000000002</v>
      </c>
      <c r="N27" s="98">
        <f t="shared" si="4"/>
        <v>117.60000000000001</v>
      </c>
      <c r="O27" s="35"/>
      <c r="P27" s="28">
        <v>45158</v>
      </c>
      <c r="Q27" s="99">
        <v>5</v>
      </c>
      <c r="R27" s="100">
        <f t="shared" si="6"/>
        <v>100</v>
      </c>
    </row>
    <row r="28" spans="1:18" x14ac:dyDescent="0.3">
      <c r="A28" s="51">
        <f t="shared" si="0"/>
        <v>21</v>
      </c>
      <c r="B28" s="3" t="s">
        <v>6</v>
      </c>
      <c r="C28" s="28">
        <v>45159</v>
      </c>
      <c r="D28" s="7" t="s">
        <v>58</v>
      </c>
      <c r="E28" s="39">
        <v>0.89236111111111116</v>
      </c>
      <c r="F28" s="7">
        <f>9+9+9+5+8+9+8+2+7+7+2+7+16+8+7</f>
        <v>113</v>
      </c>
      <c r="G28" s="7"/>
      <c r="H28" s="8">
        <v>4</v>
      </c>
      <c r="I28" s="8"/>
      <c r="J28" s="18">
        <f t="shared" si="1"/>
        <v>117</v>
      </c>
      <c r="K28" s="50">
        <f t="shared" si="2"/>
        <v>140.4</v>
      </c>
      <c r="L28" s="18">
        <f>1+1+3</f>
        <v>5</v>
      </c>
      <c r="M28" s="76">
        <f>L28*4.4</f>
        <v>22</v>
      </c>
      <c r="N28" s="98">
        <f t="shared" si="4"/>
        <v>162.4</v>
      </c>
      <c r="P28" s="28">
        <v>45159</v>
      </c>
      <c r="Q28" s="99">
        <v>1</v>
      </c>
      <c r="R28" s="100">
        <f t="shared" si="6"/>
        <v>20</v>
      </c>
    </row>
    <row r="29" spans="1:18" x14ac:dyDescent="0.3">
      <c r="A29" s="51">
        <f t="shared" si="0"/>
        <v>22</v>
      </c>
      <c r="B29" s="3" t="s">
        <v>17</v>
      </c>
      <c r="C29" s="28">
        <v>45160</v>
      </c>
      <c r="D29" s="7" t="s">
        <v>59</v>
      </c>
      <c r="E29" s="39">
        <v>0.88611111111111107</v>
      </c>
      <c r="F29" s="7">
        <f>8+6+6+5+6+6+7+7+6</f>
        <v>57</v>
      </c>
      <c r="G29" s="7">
        <f>6+6</f>
        <v>12</v>
      </c>
      <c r="H29" s="8">
        <f>5+5</f>
        <v>10</v>
      </c>
      <c r="I29" s="8"/>
      <c r="J29" s="18">
        <f t="shared" si="1"/>
        <v>79</v>
      </c>
      <c r="K29" s="50">
        <f t="shared" si="2"/>
        <v>94.8</v>
      </c>
      <c r="L29" s="18"/>
      <c r="M29" s="50">
        <f t="shared" si="3"/>
        <v>0</v>
      </c>
      <c r="N29" s="97">
        <f t="shared" si="4"/>
        <v>94.8</v>
      </c>
      <c r="P29" s="28">
        <v>45160</v>
      </c>
      <c r="Q29" s="99">
        <v>7</v>
      </c>
      <c r="R29" s="100">
        <f t="shared" si="6"/>
        <v>140</v>
      </c>
    </row>
    <row r="30" spans="1:18" x14ac:dyDescent="0.3">
      <c r="A30" s="51">
        <f t="shared" si="0"/>
        <v>23</v>
      </c>
      <c r="B30" s="3" t="s">
        <v>16</v>
      </c>
      <c r="C30" s="28">
        <v>45161</v>
      </c>
      <c r="D30" s="7" t="s">
        <v>60</v>
      </c>
      <c r="E30" s="39">
        <v>1.1041666666666701</v>
      </c>
      <c r="F30" s="7">
        <v>4</v>
      </c>
      <c r="G30" s="7"/>
      <c r="H30" s="8"/>
      <c r="I30" s="8">
        <f>2+2</f>
        <v>4</v>
      </c>
      <c r="J30" s="18">
        <f t="shared" si="1"/>
        <v>8</v>
      </c>
      <c r="K30" s="50">
        <f t="shared" si="2"/>
        <v>9.6</v>
      </c>
      <c r="L30" s="18"/>
      <c r="M30" s="50">
        <f t="shared" si="3"/>
        <v>0</v>
      </c>
      <c r="N30" s="97">
        <f t="shared" si="4"/>
        <v>9.6</v>
      </c>
      <c r="P30" s="28">
        <v>45161</v>
      </c>
      <c r="Q30" s="99">
        <v>13</v>
      </c>
      <c r="R30" s="100">
        <f t="shared" si="6"/>
        <v>260</v>
      </c>
    </row>
    <row r="31" spans="1:18" x14ac:dyDescent="0.3">
      <c r="A31" s="51">
        <f t="shared" si="0"/>
        <v>24</v>
      </c>
      <c r="B31" s="3" t="s">
        <v>15</v>
      </c>
      <c r="C31" s="28"/>
      <c r="D31" s="7"/>
      <c r="E31" s="39"/>
      <c r="F31" s="7"/>
      <c r="G31" s="7"/>
      <c r="H31" s="8"/>
      <c r="I31" s="8"/>
      <c r="J31" s="18">
        <f t="shared" si="1"/>
        <v>0</v>
      </c>
      <c r="K31" s="50">
        <f t="shared" si="2"/>
        <v>0</v>
      </c>
      <c r="L31" s="18"/>
      <c r="M31" s="50">
        <f t="shared" si="3"/>
        <v>0</v>
      </c>
      <c r="N31" s="97">
        <f t="shared" si="4"/>
        <v>0</v>
      </c>
      <c r="P31" s="28">
        <v>45162</v>
      </c>
      <c r="Q31" s="99">
        <v>8</v>
      </c>
      <c r="R31" s="100">
        <f t="shared" si="6"/>
        <v>160</v>
      </c>
    </row>
    <row r="32" spans="1:18" x14ac:dyDescent="0.3">
      <c r="A32" s="51">
        <f t="shared" si="0"/>
        <v>25</v>
      </c>
      <c r="B32" s="3" t="s">
        <v>14</v>
      </c>
      <c r="C32" s="28"/>
      <c r="D32" s="7"/>
      <c r="E32" s="39"/>
      <c r="F32" s="7"/>
      <c r="G32" s="7"/>
      <c r="H32" s="8"/>
      <c r="I32" s="8"/>
      <c r="J32" s="18">
        <f t="shared" si="1"/>
        <v>0</v>
      </c>
      <c r="K32" s="50">
        <f t="shared" si="2"/>
        <v>0</v>
      </c>
      <c r="L32" s="18"/>
      <c r="M32" s="50">
        <f t="shared" si="3"/>
        <v>0</v>
      </c>
      <c r="N32" s="97">
        <f t="shared" si="4"/>
        <v>0</v>
      </c>
      <c r="P32" s="28">
        <v>45163</v>
      </c>
      <c r="Q32" s="99"/>
      <c r="R32" s="100">
        <f t="shared" si="5"/>
        <v>0</v>
      </c>
    </row>
    <row r="33" spans="1:18" x14ac:dyDescent="0.3">
      <c r="A33" s="51">
        <f t="shared" si="0"/>
        <v>26</v>
      </c>
      <c r="B33" s="16" t="s">
        <v>13</v>
      </c>
      <c r="C33" s="28"/>
      <c r="D33" s="7"/>
      <c r="E33" s="39"/>
      <c r="F33" s="7"/>
      <c r="G33" s="7"/>
      <c r="H33" s="8"/>
      <c r="I33" s="8"/>
      <c r="J33" s="18">
        <f t="shared" si="1"/>
        <v>0</v>
      </c>
      <c r="K33" s="50">
        <f t="shared" si="2"/>
        <v>0</v>
      </c>
      <c r="L33" s="18"/>
      <c r="M33" s="50">
        <f t="shared" si="3"/>
        <v>0</v>
      </c>
      <c r="N33" s="97">
        <f t="shared" si="4"/>
        <v>0</v>
      </c>
      <c r="P33" s="28">
        <v>45164</v>
      </c>
      <c r="Q33" s="99"/>
      <c r="R33" s="100">
        <f t="shared" si="5"/>
        <v>0</v>
      </c>
    </row>
    <row r="34" spans="1:18" x14ac:dyDescent="0.3">
      <c r="A34" s="51">
        <f t="shared" si="0"/>
        <v>27</v>
      </c>
      <c r="B34" s="3" t="s">
        <v>12</v>
      </c>
      <c r="C34" s="28"/>
      <c r="D34" s="7"/>
      <c r="E34" s="39"/>
      <c r="F34" s="7"/>
      <c r="G34" s="7"/>
      <c r="H34" s="8"/>
      <c r="I34" s="8"/>
      <c r="J34" s="18">
        <f t="shared" si="1"/>
        <v>0</v>
      </c>
      <c r="K34" s="50">
        <f t="shared" si="2"/>
        <v>0</v>
      </c>
      <c r="L34" s="18"/>
      <c r="M34" s="50">
        <f t="shared" si="3"/>
        <v>0</v>
      </c>
      <c r="N34" s="97">
        <f t="shared" si="4"/>
        <v>0</v>
      </c>
      <c r="P34" s="28">
        <v>45165</v>
      </c>
      <c r="Q34" s="99"/>
      <c r="R34" s="100">
        <f t="shared" si="5"/>
        <v>0</v>
      </c>
    </row>
    <row r="35" spans="1:18" x14ac:dyDescent="0.3">
      <c r="A35" s="51">
        <f t="shared" si="0"/>
        <v>28</v>
      </c>
      <c r="B35" s="3" t="s">
        <v>6</v>
      </c>
      <c r="C35" s="28"/>
      <c r="D35" s="7"/>
      <c r="E35" s="39"/>
      <c r="F35" s="7"/>
      <c r="G35" s="7"/>
      <c r="H35" s="8"/>
      <c r="I35" s="8"/>
      <c r="J35" s="18">
        <f t="shared" si="1"/>
        <v>0</v>
      </c>
      <c r="K35" s="50">
        <f t="shared" si="2"/>
        <v>0</v>
      </c>
      <c r="L35" s="18"/>
      <c r="M35" s="50">
        <f t="shared" si="3"/>
        <v>0</v>
      </c>
      <c r="N35" s="97">
        <f t="shared" si="4"/>
        <v>0</v>
      </c>
      <c r="P35" s="28">
        <v>45166</v>
      </c>
      <c r="Q35" s="99"/>
      <c r="R35" s="100">
        <f t="shared" si="5"/>
        <v>0</v>
      </c>
    </row>
    <row r="36" spans="1:18" x14ac:dyDescent="0.3">
      <c r="A36" s="51">
        <f t="shared" si="0"/>
        <v>29</v>
      </c>
      <c r="B36" s="3" t="s">
        <v>17</v>
      </c>
      <c r="C36" s="28"/>
      <c r="D36" s="7"/>
      <c r="E36" s="39"/>
      <c r="F36" s="61"/>
      <c r="G36" s="61"/>
      <c r="H36" s="63"/>
      <c r="I36" s="8"/>
      <c r="J36" s="18">
        <f t="shared" si="1"/>
        <v>0</v>
      </c>
      <c r="K36" s="50">
        <f t="shared" si="2"/>
        <v>0</v>
      </c>
      <c r="L36" s="18"/>
      <c r="M36" s="50">
        <f t="shared" si="3"/>
        <v>0</v>
      </c>
      <c r="N36" s="97">
        <f t="shared" si="4"/>
        <v>0</v>
      </c>
      <c r="P36" s="28">
        <v>45167</v>
      </c>
      <c r="Q36" s="99"/>
      <c r="R36" s="100">
        <f t="shared" si="5"/>
        <v>0</v>
      </c>
    </row>
    <row r="37" spans="1:18" x14ac:dyDescent="0.3">
      <c r="A37" s="51">
        <f t="shared" si="0"/>
        <v>30</v>
      </c>
      <c r="B37" s="3" t="s">
        <v>16</v>
      </c>
      <c r="C37" s="28"/>
      <c r="D37" s="7"/>
      <c r="E37" s="39"/>
      <c r="F37" s="61"/>
      <c r="G37" s="61"/>
      <c r="H37" s="63"/>
      <c r="I37" s="8"/>
      <c r="J37" s="18">
        <f t="shared" si="1"/>
        <v>0</v>
      </c>
      <c r="K37" s="50">
        <f t="shared" si="2"/>
        <v>0</v>
      </c>
      <c r="L37" s="18"/>
      <c r="M37" s="50">
        <f t="shared" si="3"/>
        <v>0</v>
      </c>
      <c r="N37" s="97">
        <f t="shared" si="4"/>
        <v>0</v>
      </c>
      <c r="P37" s="28">
        <v>45168</v>
      </c>
      <c r="Q37" s="99"/>
      <c r="R37" s="100">
        <f t="shared" si="5"/>
        <v>0</v>
      </c>
    </row>
    <row r="38" spans="1:18" ht="15" thickBot="1" x14ac:dyDescent="0.35">
      <c r="A38" s="51">
        <f t="shared" si="0"/>
        <v>31</v>
      </c>
      <c r="B38" s="3" t="s">
        <v>15</v>
      </c>
      <c r="C38" s="28"/>
      <c r="D38" s="7"/>
      <c r="E38" s="39"/>
      <c r="F38" s="61"/>
      <c r="G38" s="61"/>
      <c r="H38" s="63"/>
      <c r="I38" s="8"/>
      <c r="J38" s="18">
        <f t="shared" si="1"/>
        <v>0</v>
      </c>
      <c r="K38" s="52">
        <f t="shared" si="2"/>
        <v>0</v>
      </c>
      <c r="L38" s="46"/>
      <c r="M38" s="50">
        <f t="shared" si="3"/>
        <v>0</v>
      </c>
      <c r="N38" s="97">
        <f t="shared" si="4"/>
        <v>0</v>
      </c>
      <c r="O38" s="1"/>
      <c r="P38" s="28">
        <v>45169</v>
      </c>
      <c r="Q38" s="101"/>
      <c r="R38" s="100">
        <f t="shared" si="5"/>
        <v>0</v>
      </c>
    </row>
    <row r="39" spans="1:18" x14ac:dyDescent="0.3">
      <c r="A39" s="53" t="s">
        <v>49</v>
      </c>
      <c r="B39" s="47"/>
      <c r="C39" s="48"/>
      <c r="D39" s="47"/>
      <c r="E39" s="47"/>
      <c r="F39" s="45">
        <f>SUM(F8:F38)</f>
        <v>1871</v>
      </c>
      <c r="G39" s="45">
        <f>SUM(G8:G38)</f>
        <v>122</v>
      </c>
      <c r="H39" s="45"/>
      <c r="I39" s="45">
        <f t="shared" ref="I39:N39" si="7">SUM(I8:I38)</f>
        <v>25</v>
      </c>
      <c r="J39" s="45">
        <f t="shared" si="7"/>
        <v>2306</v>
      </c>
      <c r="K39" s="54">
        <f t="shared" si="7"/>
        <v>2767.2000000000003</v>
      </c>
      <c r="L39" s="45">
        <f t="shared" si="7"/>
        <v>11</v>
      </c>
      <c r="M39" s="54">
        <f t="shared" si="7"/>
        <v>48.400000000000006</v>
      </c>
      <c r="N39" s="54">
        <f t="shared" si="7"/>
        <v>2815.6000000000004</v>
      </c>
      <c r="O39" s="44"/>
      <c r="P39" s="102" t="s">
        <v>71</v>
      </c>
      <c r="Q39" s="45">
        <f t="shared" ref="Q39:R39" si="8">SUM(Q8:Q38)</f>
        <v>62</v>
      </c>
      <c r="R39" s="96">
        <f t="shared" si="8"/>
        <v>1240</v>
      </c>
    </row>
    <row r="40" spans="1:18" ht="15" thickBot="1" x14ac:dyDescent="0.35">
      <c r="A40" s="55" t="s">
        <v>48</v>
      </c>
      <c r="B40" s="56"/>
      <c r="C40" s="57"/>
      <c r="D40" s="58"/>
      <c r="E40" s="58"/>
      <c r="F40" s="59">
        <f>F39*1.2</f>
        <v>2245.1999999999998</v>
      </c>
      <c r="G40" s="59">
        <f>G39*1.2</f>
        <v>146.4</v>
      </c>
      <c r="H40" s="59"/>
      <c r="I40" s="59">
        <f>I39*1.2</f>
        <v>30</v>
      </c>
      <c r="J40" s="59">
        <f>J39*1.2</f>
        <v>2767.2</v>
      </c>
      <c r="K40" s="60"/>
      <c r="L40" s="59"/>
      <c r="M40" s="60"/>
      <c r="N40" s="60"/>
      <c r="O40" s="33"/>
      <c r="P40" s="103"/>
      <c r="Q40" s="59"/>
      <c r="R40" s="60"/>
    </row>
    <row r="41" spans="1:18" ht="15" thickBot="1" x14ac:dyDescent="0.35">
      <c r="A41" s="55" t="s">
        <v>53</v>
      </c>
      <c r="C41" s="30"/>
      <c r="D41" s="1"/>
      <c r="E41" s="1"/>
      <c r="J41" s="64">
        <f>'rekap juli'!M39</f>
        <v>3843</v>
      </c>
      <c r="O41" s="33"/>
    </row>
    <row r="42" spans="1:18" ht="15" thickBot="1" x14ac:dyDescent="0.35">
      <c r="A42" s="55" t="s">
        <v>54</v>
      </c>
      <c r="C42" s="30"/>
      <c r="D42" s="1"/>
      <c r="E42" s="1"/>
      <c r="J42" s="65">
        <f>K39+M39</f>
        <v>2815.6000000000004</v>
      </c>
    </row>
    <row r="43" spans="1:18" x14ac:dyDescent="0.3">
      <c r="C43" s="30"/>
      <c r="D43" s="1"/>
      <c r="E43" s="1"/>
      <c r="P43" s="34"/>
    </row>
    <row r="44" spans="1:18" x14ac:dyDescent="0.3">
      <c r="C44" s="30"/>
      <c r="D44" s="1"/>
      <c r="E44" s="1"/>
    </row>
    <row r="45" spans="1:18" x14ac:dyDescent="0.3">
      <c r="C45" s="30"/>
      <c r="D45" s="1"/>
      <c r="E45" s="1"/>
    </row>
    <row r="46" spans="1:18" x14ac:dyDescent="0.3">
      <c r="C46" s="30"/>
      <c r="D46" s="1"/>
      <c r="E46" s="1"/>
    </row>
    <row r="47" spans="1:18" x14ac:dyDescent="0.3">
      <c r="C47" s="30"/>
      <c r="D47" s="1"/>
      <c r="E47" s="1"/>
    </row>
    <row r="48" spans="1:18" x14ac:dyDescent="0.3">
      <c r="C48" s="30"/>
      <c r="D48" s="1"/>
      <c r="E48" s="1"/>
    </row>
    <row r="49" spans="1:5" x14ac:dyDescent="0.3">
      <c r="C49" s="30"/>
      <c r="D49" s="1"/>
      <c r="E49" s="1"/>
    </row>
    <row r="50" spans="1:5" x14ac:dyDescent="0.3">
      <c r="C50" s="30"/>
      <c r="D50" s="1"/>
      <c r="E50" s="1"/>
    </row>
    <row r="51" spans="1:5" x14ac:dyDescent="0.3">
      <c r="A51" s="25"/>
      <c r="B51" s="25"/>
      <c r="C51" s="31"/>
      <c r="D51" s="25"/>
      <c r="E51" s="25"/>
    </row>
    <row r="52" spans="1:5" x14ac:dyDescent="0.3">
      <c r="C52" s="31"/>
    </row>
  </sheetData>
  <mergeCells count="6">
    <mergeCell ref="P6:P7"/>
    <mergeCell ref="F7:I7"/>
    <mergeCell ref="A6:A7"/>
    <mergeCell ref="B6:B7"/>
    <mergeCell ref="C6:C7"/>
    <mergeCell ref="D6:E6"/>
  </mergeCells>
  <phoneticPr fontId="8" type="noConversion"/>
  <printOptions horizontalCentered="1"/>
  <pageMargins left="0.51181102362204722" right="0.31496062992125984" top="0.55118110236220474" bottom="0.35433070866141736" header="0.31496062992125984" footer="0.31496062992125984"/>
  <pageSetup paperSize="9" scale="6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BDD4B-2732-49F6-AE39-81F78A1994CA}">
  <dimension ref="A1:K52"/>
  <sheetViews>
    <sheetView view="pageBreakPreview" topLeftCell="A4" zoomScale="90" zoomScaleNormal="100" zoomScaleSheetLayoutView="90" workbookViewId="0">
      <selection activeCell="J31" sqref="J31"/>
    </sheetView>
  </sheetViews>
  <sheetFormatPr defaultRowHeight="14.4" x14ac:dyDescent="0.3"/>
  <cols>
    <col min="1" max="1" width="4.6640625" customWidth="1"/>
    <col min="2" max="2" width="10.5546875" bestFit="1" customWidth="1"/>
    <col min="3" max="3" width="12.109375" customWidth="1"/>
    <col min="4" max="5" width="8.33203125" customWidth="1"/>
    <col min="6" max="6" width="17" customWidth="1"/>
    <col min="7" max="7" width="12.5546875" customWidth="1"/>
    <col min="8" max="8" width="14.109375" customWidth="1"/>
    <col min="9" max="9" width="12.21875" bestFit="1" customWidth="1"/>
    <col min="10" max="10" width="11.5546875" customWidth="1"/>
  </cols>
  <sheetData>
    <row r="1" spans="1:9" ht="18" x14ac:dyDescent="0.35">
      <c r="A1" s="26" t="s">
        <v>45</v>
      </c>
    </row>
    <row r="2" spans="1:9" ht="15.6" x14ac:dyDescent="0.3">
      <c r="A2" s="27" t="s">
        <v>55</v>
      </c>
    </row>
    <row r="3" spans="1:9" ht="15.6" x14ac:dyDescent="0.3">
      <c r="A3" s="27"/>
    </row>
    <row r="4" spans="1:9" x14ac:dyDescent="0.3">
      <c r="A4" s="25" t="s">
        <v>8</v>
      </c>
      <c r="C4" s="25">
        <v>4400</v>
      </c>
      <c r="D4" s="25" t="s">
        <v>9</v>
      </c>
      <c r="G4" s="25"/>
      <c r="H4" s="25"/>
      <c r="I4" s="25"/>
    </row>
    <row r="5" spans="1:9" ht="15" thickBot="1" x14ac:dyDescent="0.35"/>
    <row r="6" spans="1:9" ht="29.4" customHeight="1" x14ac:dyDescent="0.3">
      <c r="A6" s="89" t="s">
        <v>0</v>
      </c>
      <c r="B6" s="91" t="s">
        <v>1</v>
      </c>
      <c r="C6" s="91" t="s">
        <v>2</v>
      </c>
      <c r="D6" s="93" t="s">
        <v>42</v>
      </c>
      <c r="E6" s="93"/>
      <c r="F6" s="67" t="s">
        <v>43</v>
      </c>
      <c r="G6" s="66" t="s">
        <v>29</v>
      </c>
    </row>
    <row r="7" spans="1:9" ht="15" customHeight="1" thickBot="1" x14ac:dyDescent="0.35">
      <c r="A7" s="90"/>
      <c r="B7" s="92"/>
      <c r="C7" s="92"/>
      <c r="D7" s="41" t="s">
        <v>3</v>
      </c>
      <c r="E7" s="41" t="s">
        <v>4</v>
      </c>
      <c r="F7" s="72" t="s">
        <v>63</v>
      </c>
      <c r="G7" s="73" t="s">
        <v>66</v>
      </c>
    </row>
    <row r="8" spans="1:9" x14ac:dyDescent="0.3">
      <c r="A8" s="49">
        <v>1</v>
      </c>
      <c r="B8" s="3" t="s">
        <v>17</v>
      </c>
      <c r="C8" s="28">
        <v>45139</v>
      </c>
      <c r="D8" s="18"/>
      <c r="E8" s="39"/>
      <c r="F8" s="18"/>
      <c r="G8" s="76">
        <f>F8*4400</f>
        <v>0</v>
      </c>
    </row>
    <row r="9" spans="1:9" x14ac:dyDescent="0.3">
      <c r="A9" s="51">
        <f t="shared" ref="A9:A38" si="0">A8+1</f>
        <v>2</v>
      </c>
      <c r="B9" s="3" t="s">
        <v>16</v>
      </c>
      <c r="C9" s="28">
        <v>45140</v>
      </c>
      <c r="D9" s="7"/>
      <c r="E9" s="39"/>
      <c r="F9" s="18"/>
      <c r="G9" s="76">
        <f t="shared" ref="G9:G38" si="1">F9*4400</f>
        <v>0</v>
      </c>
    </row>
    <row r="10" spans="1:9" x14ac:dyDescent="0.3">
      <c r="A10" s="51">
        <f t="shared" si="0"/>
        <v>3</v>
      </c>
      <c r="B10" s="3" t="s">
        <v>15</v>
      </c>
      <c r="C10" s="28">
        <v>45141</v>
      </c>
      <c r="D10" s="7"/>
      <c r="E10" s="39"/>
      <c r="F10" s="18"/>
      <c r="G10" s="76">
        <f t="shared" si="1"/>
        <v>0</v>
      </c>
    </row>
    <row r="11" spans="1:9" x14ac:dyDescent="0.3">
      <c r="A11" s="51">
        <f t="shared" si="0"/>
        <v>4</v>
      </c>
      <c r="B11" s="3" t="s">
        <v>14</v>
      </c>
      <c r="C11" s="28">
        <v>45142</v>
      </c>
      <c r="D11" s="7"/>
      <c r="E11" s="39"/>
      <c r="F11" s="18"/>
      <c r="G11" s="76">
        <f t="shared" si="1"/>
        <v>0</v>
      </c>
    </row>
    <row r="12" spans="1:9" x14ac:dyDescent="0.3">
      <c r="A12" s="51">
        <f t="shared" si="0"/>
        <v>5</v>
      </c>
      <c r="B12" s="3" t="s">
        <v>13</v>
      </c>
      <c r="C12" s="28">
        <v>45143</v>
      </c>
      <c r="D12" s="7"/>
      <c r="E12" s="39"/>
      <c r="F12" s="18"/>
      <c r="G12" s="76">
        <f t="shared" si="1"/>
        <v>0</v>
      </c>
    </row>
    <row r="13" spans="1:9" x14ac:dyDescent="0.3">
      <c r="A13" s="51">
        <f t="shared" si="0"/>
        <v>6</v>
      </c>
      <c r="B13" s="3" t="s">
        <v>12</v>
      </c>
      <c r="C13" s="28">
        <v>45144</v>
      </c>
      <c r="D13" s="7"/>
      <c r="E13" s="39"/>
      <c r="F13" s="18"/>
      <c r="G13" s="76">
        <f t="shared" si="1"/>
        <v>0</v>
      </c>
    </row>
    <row r="14" spans="1:9" x14ac:dyDescent="0.3">
      <c r="A14" s="51">
        <f t="shared" si="0"/>
        <v>7</v>
      </c>
      <c r="B14" s="3" t="s">
        <v>6</v>
      </c>
      <c r="C14" s="28">
        <v>45145</v>
      </c>
      <c r="D14" s="7"/>
      <c r="E14" s="39"/>
      <c r="F14" s="18"/>
      <c r="G14" s="76">
        <f t="shared" si="1"/>
        <v>0</v>
      </c>
    </row>
    <row r="15" spans="1:9" x14ac:dyDescent="0.3">
      <c r="A15" s="51">
        <f t="shared" si="0"/>
        <v>8</v>
      </c>
      <c r="B15" s="3" t="s">
        <v>17</v>
      </c>
      <c r="C15" s="28">
        <v>45146</v>
      </c>
      <c r="D15" s="7"/>
      <c r="E15" s="39"/>
      <c r="F15" s="18"/>
      <c r="G15" s="76">
        <f t="shared" si="1"/>
        <v>0</v>
      </c>
    </row>
    <row r="16" spans="1:9" x14ac:dyDescent="0.3">
      <c r="A16" s="51">
        <f t="shared" si="0"/>
        <v>9</v>
      </c>
      <c r="B16" s="3" t="s">
        <v>16</v>
      </c>
      <c r="C16" s="28">
        <v>45147</v>
      </c>
      <c r="D16" s="7"/>
      <c r="E16" s="39"/>
      <c r="F16" s="18"/>
      <c r="G16" s="76">
        <f t="shared" si="1"/>
        <v>0</v>
      </c>
    </row>
    <row r="17" spans="1:8" x14ac:dyDescent="0.3">
      <c r="A17" s="51">
        <f t="shared" si="0"/>
        <v>10</v>
      </c>
      <c r="B17" s="3" t="s">
        <v>15</v>
      </c>
      <c r="C17" s="28">
        <v>45148</v>
      </c>
      <c r="D17" s="7"/>
      <c r="E17" s="39"/>
      <c r="F17" s="18"/>
      <c r="G17" s="76">
        <f t="shared" si="1"/>
        <v>0</v>
      </c>
    </row>
    <row r="18" spans="1:8" x14ac:dyDescent="0.3">
      <c r="A18" s="51">
        <f t="shared" si="0"/>
        <v>11</v>
      </c>
      <c r="B18" s="3" t="s">
        <v>14</v>
      </c>
      <c r="C18" s="28">
        <v>45149</v>
      </c>
      <c r="D18" s="7"/>
      <c r="E18" s="39"/>
      <c r="F18" s="18"/>
      <c r="G18" s="76">
        <f t="shared" si="1"/>
        <v>0</v>
      </c>
    </row>
    <row r="19" spans="1:8" x14ac:dyDescent="0.3">
      <c r="A19" s="51">
        <f t="shared" si="0"/>
        <v>12</v>
      </c>
      <c r="B19" s="16" t="s">
        <v>13</v>
      </c>
      <c r="C19" s="28">
        <v>45150</v>
      </c>
      <c r="D19" s="39"/>
      <c r="E19" s="39"/>
      <c r="F19" s="18"/>
      <c r="G19" s="76">
        <f t="shared" si="1"/>
        <v>0</v>
      </c>
    </row>
    <row r="20" spans="1:8" x14ac:dyDescent="0.3">
      <c r="A20" s="51">
        <f t="shared" si="0"/>
        <v>13</v>
      </c>
      <c r="B20" s="3" t="s">
        <v>12</v>
      </c>
      <c r="C20" s="28">
        <v>45151</v>
      </c>
      <c r="D20" s="39"/>
      <c r="E20" s="39"/>
      <c r="F20" s="18"/>
      <c r="G20" s="76">
        <f t="shared" si="1"/>
        <v>0</v>
      </c>
    </row>
    <row r="21" spans="1:8" x14ac:dyDescent="0.3">
      <c r="A21" s="51">
        <f t="shared" si="0"/>
        <v>14</v>
      </c>
      <c r="B21" s="3" t="s">
        <v>6</v>
      </c>
      <c r="C21" s="28">
        <v>45152</v>
      </c>
      <c r="D21" s="7"/>
      <c r="E21" s="39"/>
      <c r="F21" s="18"/>
      <c r="G21" s="76">
        <f t="shared" si="1"/>
        <v>0</v>
      </c>
    </row>
    <row r="22" spans="1:8" x14ac:dyDescent="0.3">
      <c r="A22" s="49">
        <f t="shared" si="0"/>
        <v>15</v>
      </c>
      <c r="B22" s="3" t="s">
        <v>17</v>
      </c>
      <c r="C22" s="28">
        <v>45153</v>
      </c>
      <c r="D22" s="38"/>
      <c r="E22" s="39"/>
      <c r="F22" s="18"/>
      <c r="G22" s="76">
        <f t="shared" si="1"/>
        <v>0</v>
      </c>
    </row>
    <row r="23" spans="1:8" x14ac:dyDescent="0.3">
      <c r="A23" s="51">
        <f t="shared" si="0"/>
        <v>16</v>
      </c>
      <c r="B23" s="3" t="s">
        <v>16</v>
      </c>
      <c r="C23" s="28">
        <v>45154</v>
      </c>
      <c r="D23" s="7"/>
      <c r="E23" s="39"/>
      <c r="F23" s="18"/>
      <c r="G23" s="76">
        <f t="shared" si="1"/>
        <v>0</v>
      </c>
    </row>
    <row r="24" spans="1:8" x14ac:dyDescent="0.3">
      <c r="A24" s="51">
        <f t="shared" si="0"/>
        <v>17</v>
      </c>
      <c r="B24" s="3" t="s">
        <v>15</v>
      </c>
      <c r="C24" s="28">
        <v>45155</v>
      </c>
      <c r="D24" s="7"/>
      <c r="E24" s="39"/>
      <c r="F24" s="18"/>
      <c r="G24" s="76">
        <f t="shared" si="1"/>
        <v>0</v>
      </c>
    </row>
    <row r="25" spans="1:8" x14ac:dyDescent="0.3">
      <c r="A25" s="51">
        <f t="shared" si="0"/>
        <v>18</v>
      </c>
      <c r="B25" s="3" t="s">
        <v>14</v>
      </c>
      <c r="C25" s="28">
        <v>45156</v>
      </c>
      <c r="D25" s="7"/>
      <c r="E25" s="39"/>
      <c r="F25" s="18"/>
      <c r="G25" s="76">
        <f t="shared" si="1"/>
        <v>0</v>
      </c>
    </row>
    <row r="26" spans="1:8" x14ac:dyDescent="0.3">
      <c r="A26" s="51">
        <f t="shared" si="0"/>
        <v>19</v>
      </c>
      <c r="B26" s="16" t="s">
        <v>13</v>
      </c>
      <c r="C26" s="28">
        <v>45157</v>
      </c>
      <c r="D26" s="39">
        <v>0.5625</v>
      </c>
      <c r="E26" s="39">
        <v>0.59375</v>
      </c>
      <c r="F26" s="18">
        <v>1</v>
      </c>
      <c r="G26" s="76">
        <f t="shared" si="1"/>
        <v>4400</v>
      </c>
    </row>
    <row r="27" spans="1:8" x14ac:dyDescent="0.3">
      <c r="A27" s="51">
        <f t="shared" si="0"/>
        <v>20</v>
      </c>
      <c r="B27" s="3" t="s">
        <v>12</v>
      </c>
      <c r="C27" s="28">
        <v>45158</v>
      </c>
      <c r="D27" s="39"/>
      <c r="E27" s="39"/>
      <c r="F27" s="18"/>
      <c r="G27" s="76"/>
      <c r="H27" s="35"/>
    </row>
    <row r="28" spans="1:8" x14ac:dyDescent="0.3">
      <c r="A28" s="51">
        <f t="shared" si="0"/>
        <v>21</v>
      </c>
      <c r="B28" s="3" t="s">
        <v>6</v>
      </c>
      <c r="C28" s="28">
        <v>45159</v>
      </c>
      <c r="D28" s="39">
        <v>0.31944444444444448</v>
      </c>
      <c r="E28" s="39">
        <v>0.67222222222222217</v>
      </c>
      <c r="F28" s="18">
        <v>8</v>
      </c>
      <c r="G28" s="76">
        <f t="shared" si="1"/>
        <v>35200</v>
      </c>
    </row>
    <row r="29" spans="1:8" x14ac:dyDescent="0.3">
      <c r="A29" s="51">
        <f t="shared" si="0"/>
        <v>22</v>
      </c>
      <c r="B29" s="3" t="s">
        <v>17</v>
      </c>
      <c r="C29" s="28">
        <v>45160</v>
      </c>
      <c r="D29" s="39">
        <v>0.36249999999999999</v>
      </c>
      <c r="E29" s="39">
        <v>0.69166666666666676</v>
      </c>
      <c r="F29" s="18">
        <v>7</v>
      </c>
      <c r="G29" s="76">
        <f t="shared" si="1"/>
        <v>30800</v>
      </c>
    </row>
    <row r="30" spans="1:8" x14ac:dyDescent="0.3">
      <c r="A30" s="51">
        <f t="shared" si="0"/>
        <v>23</v>
      </c>
      <c r="B30" s="3" t="s">
        <v>16</v>
      </c>
      <c r="C30" s="28">
        <v>45161</v>
      </c>
      <c r="D30" s="7" t="s">
        <v>67</v>
      </c>
      <c r="E30" s="39">
        <v>0.69027777777777777</v>
      </c>
      <c r="F30" s="18">
        <f>3+2</f>
        <v>5</v>
      </c>
      <c r="G30" s="76">
        <f t="shared" si="1"/>
        <v>22000</v>
      </c>
    </row>
    <row r="31" spans="1:8" x14ac:dyDescent="0.3">
      <c r="A31" s="51">
        <f t="shared" si="0"/>
        <v>24</v>
      </c>
      <c r="B31" s="3" t="s">
        <v>15</v>
      </c>
      <c r="C31" s="28"/>
      <c r="D31" s="39">
        <v>0.3666666666666667</v>
      </c>
      <c r="E31" s="39">
        <v>0.65972222222222221</v>
      </c>
      <c r="F31" s="18">
        <f>5+2</f>
        <v>7</v>
      </c>
      <c r="G31" s="76">
        <f t="shared" si="1"/>
        <v>30800</v>
      </c>
    </row>
    <row r="32" spans="1:8" x14ac:dyDescent="0.3">
      <c r="A32" s="51">
        <f t="shared" si="0"/>
        <v>25</v>
      </c>
      <c r="B32" s="3" t="s">
        <v>14</v>
      </c>
      <c r="C32" s="28"/>
      <c r="D32" s="7"/>
      <c r="E32" s="39"/>
      <c r="F32" s="18"/>
      <c r="G32" s="76">
        <f t="shared" si="1"/>
        <v>0</v>
      </c>
    </row>
    <row r="33" spans="1:11" x14ac:dyDescent="0.3">
      <c r="A33" s="51">
        <f t="shared" si="0"/>
        <v>26</v>
      </c>
      <c r="B33" s="16" t="s">
        <v>13</v>
      </c>
      <c r="C33" s="28"/>
      <c r="D33" s="7"/>
      <c r="E33" s="39"/>
      <c r="F33" s="18"/>
      <c r="G33" s="76">
        <f t="shared" si="1"/>
        <v>0</v>
      </c>
    </row>
    <row r="34" spans="1:11" x14ac:dyDescent="0.3">
      <c r="A34" s="51">
        <f t="shared" si="0"/>
        <v>27</v>
      </c>
      <c r="B34" s="3" t="s">
        <v>12</v>
      </c>
      <c r="C34" s="28"/>
      <c r="D34" s="7"/>
      <c r="E34" s="39"/>
      <c r="F34" s="18"/>
      <c r="G34" s="76">
        <f t="shared" si="1"/>
        <v>0</v>
      </c>
    </row>
    <row r="35" spans="1:11" x14ac:dyDescent="0.3">
      <c r="A35" s="51">
        <f t="shared" si="0"/>
        <v>28</v>
      </c>
      <c r="B35" s="3" t="s">
        <v>6</v>
      </c>
      <c r="C35" s="28"/>
      <c r="D35" s="7"/>
      <c r="E35" s="39"/>
      <c r="F35" s="18"/>
      <c r="G35" s="76">
        <f t="shared" si="1"/>
        <v>0</v>
      </c>
    </row>
    <row r="36" spans="1:11" x14ac:dyDescent="0.3">
      <c r="A36" s="51">
        <f t="shared" si="0"/>
        <v>29</v>
      </c>
      <c r="B36" s="3" t="s">
        <v>17</v>
      </c>
      <c r="C36" s="28"/>
      <c r="D36" s="7"/>
      <c r="E36" s="39"/>
      <c r="F36" s="18"/>
      <c r="G36" s="76">
        <f t="shared" si="1"/>
        <v>0</v>
      </c>
    </row>
    <row r="37" spans="1:11" x14ac:dyDescent="0.3">
      <c r="A37" s="51">
        <f t="shared" si="0"/>
        <v>30</v>
      </c>
      <c r="B37" s="3" t="s">
        <v>16</v>
      </c>
      <c r="C37" s="28"/>
      <c r="D37" s="7"/>
      <c r="E37" s="39"/>
      <c r="F37" s="18"/>
      <c r="G37" s="76">
        <f t="shared" si="1"/>
        <v>0</v>
      </c>
    </row>
    <row r="38" spans="1:11" ht="15" thickBot="1" x14ac:dyDescent="0.35">
      <c r="A38" s="51">
        <f t="shared" si="0"/>
        <v>31</v>
      </c>
      <c r="B38" s="3" t="s">
        <v>15</v>
      </c>
      <c r="C38" s="28"/>
      <c r="D38" s="7"/>
      <c r="E38" s="39"/>
      <c r="F38" s="46"/>
      <c r="G38" s="76">
        <f t="shared" si="1"/>
        <v>0</v>
      </c>
      <c r="H38" s="1"/>
      <c r="J38" s="62" t="s">
        <v>51</v>
      </c>
      <c r="K38" s="1"/>
    </row>
    <row r="39" spans="1:11" x14ac:dyDescent="0.3">
      <c r="A39" s="53" t="s">
        <v>49</v>
      </c>
      <c r="B39" s="47"/>
      <c r="C39" s="48"/>
      <c r="D39" s="47"/>
      <c r="E39" s="47"/>
      <c r="F39" s="45">
        <f>SUM(F8:F38)</f>
        <v>28</v>
      </c>
      <c r="G39" s="74">
        <f>SUM(G8:G38)</f>
        <v>123200</v>
      </c>
      <c r="J39" s="40">
        <v>0</v>
      </c>
      <c r="K39" s="40"/>
    </row>
    <row r="40" spans="1:11" ht="15" thickBot="1" x14ac:dyDescent="0.35">
      <c r="A40" s="55" t="s">
        <v>48</v>
      </c>
      <c r="B40" s="56"/>
      <c r="C40" s="57"/>
      <c r="D40" s="58"/>
      <c r="E40" s="58"/>
      <c r="F40" s="59"/>
      <c r="G40" s="60"/>
      <c r="H40" s="33"/>
    </row>
    <row r="41" spans="1:11" ht="15" thickBot="1" x14ac:dyDescent="0.35">
      <c r="A41" s="55" t="s">
        <v>53</v>
      </c>
      <c r="C41" s="30"/>
      <c r="D41" s="1"/>
      <c r="E41" s="1"/>
      <c r="H41" s="75" t="s">
        <v>68</v>
      </c>
      <c r="I41" t="s">
        <v>69</v>
      </c>
    </row>
    <row r="42" spans="1:11" ht="15" thickBot="1" x14ac:dyDescent="0.35">
      <c r="A42" s="55" t="s">
        <v>54</v>
      </c>
      <c r="C42" s="30"/>
      <c r="D42" s="1"/>
      <c r="E42" s="1"/>
      <c r="H42" s="44">
        <f>'rekap agustus (dody)'!J42</f>
        <v>2815.6000000000004</v>
      </c>
      <c r="I42" s="33">
        <f>G39+H42</f>
        <v>126015.6</v>
      </c>
    </row>
    <row r="43" spans="1:11" x14ac:dyDescent="0.3">
      <c r="C43" s="30"/>
      <c r="D43" s="1"/>
      <c r="E43" s="1"/>
      <c r="I43" s="34"/>
    </row>
    <row r="44" spans="1:11" x14ac:dyDescent="0.3">
      <c r="C44" s="30"/>
      <c r="D44" s="1"/>
      <c r="E44" s="1"/>
    </row>
    <row r="45" spans="1:11" x14ac:dyDescent="0.3">
      <c r="C45" s="30"/>
      <c r="D45" s="1"/>
      <c r="E45" s="1"/>
    </row>
    <row r="46" spans="1:11" x14ac:dyDescent="0.3">
      <c r="C46" s="30"/>
      <c r="D46" s="1"/>
      <c r="E46" s="1"/>
    </row>
    <row r="47" spans="1:11" x14ac:dyDescent="0.3">
      <c r="C47" s="30"/>
      <c r="D47" s="1"/>
      <c r="E47" s="1"/>
    </row>
    <row r="48" spans="1:11" x14ac:dyDescent="0.3">
      <c r="C48" s="30"/>
      <c r="D48" s="1"/>
      <c r="E48" s="1"/>
    </row>
    <row r="49" spans="1:5" x14ac:dyDescent="0.3">
      <c r="C49" s="30"/>
      <c r="D49" s="1"/>
      <c r="E49" s="1"/>
    </row>
    <row r="50" spans="1:5" x14ac:dyDescent="0.3">
      <c r="C50" s="30"/>
      <c r="D50" s="1"/>
      <c r="E50" s="1"/>
    </row>
    <row r="51" spans="1:5" x14ac:dyDescent="0.3">
      <c r="A51" s="25"/>
      <c r="B51" s="25"/>
      <c r="C51" s="31"/>
      <c r="D51" s="25"/>
      <c r="E51" s="25"/>
    </row>
    <row r="52" spans="1:5" x14ac:dyDescent="0.3">
      <c r="C52" s="31"/>
    </row>
  </sheetData>
  <mergeCells count="4">
    <mergeCell ref="A6:A7"/>
    <mergeCell ref="B6:B7"/>
    <mergeCell ref="C6:C7"/>
    <mergeCell ref="D6:E6"/>
  </mergeCells>
  <printOptions horizontalCentered="1"/>
  <pageMargins left="0.51181102362204722" right="0.31496062992125984" top="0.55118110236220474" bottom="0.35433070866141736" header="0.31496062992125984" footer="0.31496062992125984"/>
  <pageSetup paperSize="9"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E8A5D-7E3E-4AA1-BED7-632A79E14CCC}">
  <dimension ref="A1:E12"/>
  <sheetViews>
    <sheetView workbookViewId="0">
      <selection activeCell="F1" sqref="F1"/>
    </sheetView>
  </sheetViews>
  <sheetFormatPr defaultRowHeight="14.4" x14ac:dyDescent="0.3"/>
  <cols>
    <col min="2" max="2" width="14" bestFit="1" customWidth="1"/>
  </cols>
  <sheetData>
    <row r="1" spans="1:5" x14ac:dyDescent="0.3">
      <c r="A1">
        <f>9*12</f>
        <v>108</v>
      </c>
      <c r="B1">
        <f>A1*3</f>
        <v>324</v>
      </c>
      <c r="E1">
        <v>1</v>
      </c>
    </row>
    <row r="3" spans="1:5" x14ac:dyDescent="0.3">
      <c r="A3">
        <v>9</v>
      </c>
    </row>
    <row r="4" spans="1:5" x14ac:dyDescent="0.3">
      <c r="A4">
        <v>9</v>
      </c>
    </row>
    <row r="5" spans="1:5" x14ac:dyDescent="0.3">
      <c r="A5">
        <v>12</v>
      </c>
    </row>
    <row r="6" spans="1:5" x14ac:dyDescent="0.3">
      <c r="A6">
        <v>12</v>
      </c>
    </row>
    <row r="7" spans="1:5" x14ac:dyDescent="0.3">
      <c r="A7">
        <v>12</v>
      </c>
    </row>
    <row r="8" spans="1:5" x14ac:dyDescent="0.3">
      <c r="A8">
        <v>2</v>
      </c>
    </row>
    <row r="9" spans="1:5" x14ac:dyDescent="0.3">
      <c r="A9">
        <v>3</v>
      </c>
    </row>
    <row r="10" spans="1:5" x14ac:dyDescent="0.3">
      <c r="A10">
        <f>SUM(A3:A9)</f>
        <v>59</v>
      </c>
      <c r="B10">
        <f>A10*3</f>
        <v>177</v>
      </c>
      <c r="C10" t="s">
        <v>36</v>
      </c>
    </row>
    <row r="11" spans="1:5" x14ac:dyDescent="0.3">
      <c r="B11">
        <v>120000</v>
      </c>
    </row>
    <row r="12" spans="1:5" x14ac:dyDescent="0.3">
      <c r="B12" s="32">
        <f>B10*B11</f>
        <v>21240000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Sheet1</vt:lpstr>
      <vt:lpstr>rekap juli</vt:lpstr>
      <vt:lpstr>rekap agustus (dody)</vt:lpstr>
      <vt:lpstr>rekap agustus (cv.vacelindo)</vt:lpstr>
      <vt:lpstr>Sheet2</vt:lpstr>
      <vt:lpstr>'rekap agustus (cv.vacelindo)'!Print_Area</vt:lpstr>
      <vt:lpstr>'rekap agustus (dody)'!Print_Area</vt:lpstr>
      <vt:lpstr>'rekap juli'!Print_Area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fadilah</dc:creator>
  <cp:lastModifiedBy>ahmad fadilah</cp:lastModifiedBy>
  <cp:lastPrinted>2023-07-28T07:23:43Z</cp:lastPrinted>
  <dcterms:created xsi:type="dcterms:W3CDTF">2023-07-01T01:37:42Z</dcterms:created>
  <dcterms:modified xsi:type="dcterms:W3CDTF">2023-08-25T00:42:03Z</dcterms:modified>
</cp:coreProperties>
</file>